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autoCompressPictures="0" defaultThemeVersion="124226"/>
  <bookViews>
    <workbookView xWindow="-120" yWindow="-120" windowWidth="20736" windowHeight="11160"/>
  </bookViews>
  <sheets>
    <sheet name="SUBJECT 1A" sheetId="1" r:id="rId1"/>
    <sheet name="SUBJECT 1B" sheetId="17" r:id="rId2"/>
    <sheet name="SUBJECT 1C" sheetId="14" r:id="rId3"/>
    <sheet name="SUBJECT 2" sheetId="15" r:id="rId4"/>
    <sheet name="SUBJECT 2 - Q4" sheetId="16" r:id="rId5"/>
    <sheet name="SUBJECT 3" sheetId="6" r:id="rId6"/>
  </sheets>
  <calcPr calcId="125725" iterateDelta="1E-4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5" i="14"/>
  <c r="B26" i="17"/>
  <c r="C26" s="1"/>
  <c r="B25" i="1"/>
  <c r="C45" i="17"/>
  <c r="B45"/>
  <c r="G44"/>
  <c r="B43"/>
  <c r="B42"/>
  <c r="B47" s="1"/>
  <c r="A42"/>
  <c r="B41"/>
  <c r="F36"/>
  <c r="G35"/>
  <c r="D34"/>
  <c r="E34" s="1"/>
  <c r="F34" s="1"/>
  <c r="G34" s="1"/>
  <c r="D33"/>
  <c r="E33" s="1"/>
  <c r="B32"/>
  <c r="B22"/>
  <c r="B24" s="1"/>
  <c r="B20"/>
  <c r="B28" s="1"/>
  <c r="B19"/>
  <c r="B16"/>
  <c r="G11"/>
  <c r="G45" s="1"/>
  <c r="F11"/>
  <c r="F45" s="1"/>
  <c r="E11"/>
  <c r="E45" s="1"/>
  <c r="D45"/>
  <c r="C10"/>
  <c r="D10" s="1"/>
  <c r="B7"/>
  <c r="G36" s="1"/>
  <c r="E10" l="1"/>
  <c r="D41"/>
  <c r="D32"/>
  <c r="C24"/>
  <c r="C25"/>
  <c r="B30"/>
  <c r="B48" s="1"/>
  <c r="B29"/>
  <c r="F33"/>
  <c r="C32"/>
  <c r="E36"/>
  <c r="E37" s="1"/>
  <c r="D37"/>
  <c r="D36"/>
  <c r="C41"/>
  <c r="C36"/>
  <c r="C37" s="1"/>
  <c r="D32" i="15"/>
  <c r="D21" i="6"/>
  <c r="D73" i="15"/>
  <c r="C73"/>
  <c r="C32"/>
  <c r="C16" i="6"/>
  <c r="C17" s="1"/>
  <c r="C18" s="1"/>
  <c r="E43" s="1"/>
  <c r="E51" s="1"/>
  <c r="G44" i="14"/>
  <c r="F44"/>
  <c r="E44"/>
  <c r="D44"/>
  <c r="C44"/>
  <c r="G44" i="1"/>
  <c r="F44"/>
  <c r="E44"/>
  <c r="D44"/>
  <c r="C44"/>
  <c r="D24" i="16"/>
  <c r="B24"/>
  <c r="C24" s="1"/>
  <c r="D23"/>
  <c r="C23"/>
  <c r="D20"/>
  <c r="C20"/>
  <c r="D18"/>
  <c r="E5"/>
  <c r="B5"/>
  <c r="C16" s="1"/>
  <c r="F4"/>
  <c r="E4"/>
  <c r="D15" i="6"/>
  <c r="C25"/>
  <c r="C44" s="1"/>
  <c r="C52" s="1"/>
  <c r="D52" s="1"/>
  <c r="C22"/>
  <c r="C8"/>
  <c r="C9" s="1"/>
  <c r="C10" s="1"/>
  <c r="E42" s="1"/>
  <c r="E50" s="1"/>
  <c r="C36"/>
  <c r="C38" s="1"/>
  <c r="E53" s="1"/>
  <c r="C37"/>
  <c r="E45" s="1"/>
  <c r="C27"/>
  <c r="B45" i="15"/>
  <c r="D71" s="1"/>
  <c r="B44"/>
  <c r="D22"/>
  <c r="D30"/>
  <c r="B2"/>
  <c r="B29" s="1"/>
  <c r="D89"/>
  <c r="C89"/>
  <c r="B89"/>
  <c r="C72"/>
  <c r="B72"/>
  <c r="D62"/>
  <c r="C62"/>
  <c r="D61"/>
  <c r="C61"/>
  <c r="D60"/>
  <c r="C60"/>
  <c r="D48"/>
  <c r="D72" s="1"/>
  <c r="B42"/>
  <c r="B91" s="1"/>
  <c r="C31"/>
  <c r="B31"/>
  <c r="D21"/>
  <c r="C21"/>
  <c r="D20"/>
  <c r="C20"/>
  <c r="D19"/>
  <c r="C19"/>
  <c r="D7"/>
  <c r="D31" s="1"/>
  <c r="C43" i="14"/>
  <c r="B43"/>
  <c r="G42"/>
  <c r="B41"/>
  <c r="B45" s="1"/>
  <c r="A41"/>
  <c r="B40"/>
  <c r="G34"/>
  <c r="D33"/>
  <c r="E33" s="1"/>
  <c r="F33" s="1"/>
  <c r="G33" s="1"/>
  <c r="D32"/>
  <c r="E32" s="1"/>
  <c r="C31"/>
  <c r="B31"/>
  <c r="C25"/>
  <c r="B18"/>
  <c r="B15"/>
  <c r="B19" s="1"/>
  <c r="D10"/>
  <c r="D43" s="1"/>
  <c r="C9"/>
  <c r="C40" s="1"/>
  <c r="B6"/>
  <c r="D35" s="1"/>
  <c r="B27" i="1"/>
  <c r="G34"/>
  <c r="G42"/>
  <c r="A41"/>
  <c r="B40"/>
  <c r="C25"/>
  <c r="B18"/>
  <c r="B15"/>
  <c r="B19" s="1"/>
  <c r="B21" s="1"/>
  <c r="D33"/>
  <c r="E33" s="1"/>
  <c r="F33" s="1"/>
  <c r="G33" s="1"/>
  <c r="D32"/>
  <c r="E32" s="1"/>
  <c r="F32" s="1"/>
  <c r="G32" s="1"/>
  <c r="B31"/>
  <c r="D10"/>
  <c r="E10" s="1"/>
  <c r="E43" s="1"/>
  <c r="C9"/>
  <c r="C31" s="1"/>
  <c r="B6"/>
  <c r="G35" s="1"/>
  <c r="C43"/>
  <c r="B43"/>
  <c r="B41"/>
  <c r="E38" i="17" l="1"/>
  <c r="E39"/>
  <c r="E46" s="1"/>
  <c r="E47" s="1"/>
  <c r="D39"/>
  <c r="D46" s="1"/>
  <c r="D47" s="1"/>
  <c r="D48" s="1"/>
  <c r="D38"/>
  <c r="F37"/>
  <c r="G33"/>
  <c r="G37" s="1"/>
  <c r="C38"/>
  <c r="C39" s="1"/>
  <c r="C46" s="1"/>
  <c r="C47" s="1"/>
  <c r="E32"/>
  <c r="F10"/>
  <c r="E41"/>
  <c r="F5" i="16"/>
  <c r="B25"/>
  <c r="B6"/>
  <c r="E10" i="14"/>
  <c r="E43" s="1"/>
  <c r="C42" i="6"/>
  <c r="D42" s="1"/>
  <c r="C43"/>
  <c r="C51" s="1"/>
  <c r="D51" s="1"/>
  <c r="C28"/>
  <c r="E44" s="1"/>
  <c r="E52" s="1"/>
  <c r="D44"/>
  <c r="C39"/>
  <c r="D63" i="15"/>
  <c r="B43"/>
  <c r="B70" s="1"/>
  <c r="B74" s="1"/>
  <c r="B90" s="1"/>
  <c r="D91"/>
  <c r="B33"/>
  <c r="B34" s="1"/>
  <c r="C91"/>
  <c r="B9"/>
  <c r="B50"/>
  <c r="D36" i="14"/>
  <c r="D37" s="1"/>
  <c r="D38" s="1"/>
  <c r="D45" s="1"/>
  <c r="E35"/>
  <c r="B21"/>
  <c r="B23" s="1"/>
  <c r="B27"/>
  <c r="F32"/>
  <c r="E36"/>
  <c r="F10"/>
  <c r="F43" s="1"/>
  <c r="F35"/>
  <c r="C35"/>
  <c r="C36" s="1"/>
  <c r="G35"/>
  <c r="D9"/>
  <c r="B23" i="1"/>
  <c r="C23" s="1"/>
  <c r="C40"/>
  <c r="G36"/>
  <c r="D43"/>
  <c r="D35"/>
  <c r="D36" s="1"/>
  <c r="E35"/>
  <c r="E36" s="1"/>
  <c r="F35"/>
  <c r="F36" s="1"/>
  <c r="C35"/>
  <c r="C36" s="1"/>
  <c r="F10"/>
  <c r="B45"/>
  <c r="D9"/>
  <c r="D40" s="1"/>
  <c r="C48" i="17" l="1"/>
  <c r="C52"/>
  <c r="F38"/>
  <c r="F39" s="1"/>
  <c r="F46" s="1"/>
  <c r="F47" s="1"/>
  <c r="F41"/>
  <c r="F32"/>
  <c r="G10"/>
  <c r="G38"/>
  <c r="G39"/>
  <c r="G46" s="1"/>
  <c r="G47" s="1"/>
  <c r="E48"/>
  <c r="E6" i="16"/>
  <c r="F6"/>
  <c r="B7"/>
  <c r="D25"/>
  <c r="C25"/>
  <c r="B26"/>
  <c r="D43" i="6"/>
  <c r="G10" i="14"/>
  <c r="G43" s="1"/>
  <c r="C50" i="6"/>
  <c r="C45"/>
  <c r="B88" i="15"/>
  <c r="B92" s="1"/>
  <c r="B95" s="1"/>
  <c r="B75"/>
  <c r="C23"/>
  <c r="C24" s="1"/>
  <c r="D23"/>
  <c r="D24" s="1"/>
  <c r="C64"/>
  <c r="C65" s="1"/>
  <c r="D64"/>
  <c r="D65" s="1"/>
  <c r="C24" i="14"/>
  <c r="C23"/>
  <c r="F36"/>
  <c r="G32"/>
  <c r="G36" s="1"/>
  <c r="D40"/>
  <c r="D31"/>
  <c r="E9"/>
  <c r="E37"/>
  <c r="E38" s="1"/>
  <c r="E45" s="1"/>
  <c r="C37"/>
  <c r="C38" s="1"/>
  <c r="C45" s="1"/>
  <c r="B28"/>
  <c r="B29" s="1"/>
  <c r="C24" i="1"/>
  <c r="E37"/>
  <c r="E38" s="1"/>
  <c r="C37"/>
  <c r="C38" s="1"/>
  <c r="C45" s="1"/>
  <c r="D37"/>
  <c r="D38" s="1"/>
  <c r="D45" s="1"/>
  <c r="F37"/>
  <c r="F38" s="1"/>
  <c r="G37"/>
  <c r="G38" s="1"/>
  <c r="G10"/>
  <c r="G43" s="1"/>
  <c r="F43"/>
  <c r="B28"/>
  <c r="B29" s="1"/>
  <c r="E9"/>
  <c r="E40" s="1"/>
  <c r="D31"/>
  <c r="F48" i="17" l="1"/>
  <c r="B51"/>
  <c r="G41"/>
  <c r="G32"/>
  <c r="B49"/>
  <c r="G48"/>
  <c r="D52"/>
  <c r="E52" s="1"/>
  <c r="B27" i="16"/>
  <c r="D26"/>
  <c r="C26"/>
  <c r="F7"/>
  <c r="E7"/>
  <c r="C17" s="1"/>
  <c r="B8"/>
  <c r="D45" i="6"/>
  <c r="C53"/>
  <c r="D53" s="1"/>
  <c r="E55" s="1"/>
  <c r="D50"/>
  <c r="B93" i="15"/>
  <c r="B94" s="1"/>
  <c r="C66"/>
  <c r="C67" s="1"/>
  <c r="C74" s="1"/>
  <c r="D25"/>
  <c r="D26" s="1"/>
  <c r="D33" s="1"/>
  <c r="D66"/>
  <c r="D67" s="1"/>
  <c r="D74" s="1"/>
  <c r="C25"/>
  <c r="C26" s="1"/>
  <c r="C33" s="1"/>
  <c r="B46" i="14"/>
  <c r="D46"/>
  <c r="G37"/>
  <c r="G38" s="1"/>
  <c r="G45" s="1"/>
  <c r="C46"/>
  <c r="C50"/>
  <c r="E31"/>
  <c r="E40"/>
  <c r="E46" s="1"/>
  <c r="F9"/>
  <c r="F37"/>
  <c r="F38" s="1"/>
  <c r="F45" s="1"/>
  <c r="C46" i="1"/>
  <c r="D46"/>
  <c r="E45"/>
  <c r="E46" s="1"/>
  <c r="F45"/>
  <c r="G45"/>
  <c r="B46"/>
  <c r="F9"/>
  <c r="F40" s="1"/>
  <c r="E31"/>
  <c r="C50"/>
  <c r="B50" i="17" l="1"/>
  <c r="B53" s="1"/>
  <c r="F52"/>
  <c r="D54" i="6"/>
  <c r="C54"/>
  <c r="C19" i="16"/>
  <c r="C27"/>
  <c r="B28"/>
  <c r="D27"/>
  <c r="C18"/>
  <c r="B9"/>
  <c r="F8"/>
  <c r="D46" i="6"/>
  <c r="E47"/>
  <c r="D88" i="15"/>
  <c r="D34"/>
  <c r="D75"/>
  <c r="D90"/>
  <c r="C88"/>
  <c r="C34"/>
  <c r="B37"/>
  <c r="C38"/>
  <c r="C75"/>
  <c r="C90"/>
  <c r="C79"/>
  <c r="B78"/>
  <c r="B49" i="14"/>
  <c r="D50"/>
  <c r="F31"/>
  <c r="F40"/>
  <c r="F46" s="1"/>
  <c r="G9"/>
  <c r="B49" i="1"/>
  <c r="D50"/>
  <c r="E50" s="1"/>
  <c r="F46"/>
  <c r="G9"/>
  <c r="F31"/>
  <c r="G52" i="17" l="1"/>
  <c r="B52" s="1"/>
  <c r="C28" i="16"/>
  <c r="D28"/>
  <c r="B29"/>
  <c r="F9"/>
  <c r="B10"/>
  <c r="D38" i="15"/>
  <c r="B38" s="1"/>
  <c r="D79"/>
  <c r="B79" s="1"/>
  <c r="B36"/>
  <c r="B39" s="1"/>
  <c r="B35"/>
  <c r="B77"/>
  <c r="B80" s="1"/>
  <c r="B76"/>
  <c r="C92"/>
  <c r="C93" s="1"/>
  <c r="C94" s="1"/>
  <c r="D92"/>
  <c r="D95" s="1"/>
  <c r="E50" i="14"/>
  <c r="G40"/>
  <c r="G46" s="1"/>
  <c r="B48" s="1"/>
  <c r="B51" s="1"/>
  <c r="G31"/>
  <c r="F50" i="1"/>
  <c r="G50" s="1"/>
  <c r="G31"/>
  <c r="G40"/>
  <c r="G46" s="1"/>
  <c r="B48" s="1"/>
  <c r="B51" s="1"/>
  <c r="D29" i="16" l="1"/>
  <c r="C29"/>
  <c r="B30"/>
  <c r="B11"/>
  <c r="F10"/>
  <c r="D93" i="15"/>
  <c r="D94" s="1"/>
  <c r="C95"/>
  <c r="B98"/>
  <c r="C99"/>
  <c r="F50" i="14"/>
  <c r="G50" s="1"/>
  <c r="B47"/>
  <c r="B47" i="1"/>
  <c r="B50"/>
  <c r="D16" i="16" l="1"/>
  <c r="F11"/>
  <c r="B12"/>
  <c r="B31"/>
  <c r="D30"/>
  <c r="C30"/>
  <c r="D99" i="15"/>
  <c r="B99" s="1"/>
  <c r="B97"/>
  <c r="B100" s="1"/>
  <c r="B96"/>
  <c r="B50" i="14"/>
  <c r="B32" i="16" l="1"/>
  <c r="C31"/>
  <c r="D31"/>
  <c r="B13"/>
  <c r="F12"/>
  <c r="F13" l="1"/>
  <c r="B14"/>
  <c r="F14" s="1"/>
  <c r="D19" s="1"/>
  <c r="D17"/>
  <c r="C32"/>
  <c r="D32"/>
  <c r="B33"/>
  <c r="D33" l="1"/>
  <c r="C33"/>
  <c r="B34"/>
  <c r="B35" l="1"/>
  <c r="D34"/>
  <c r="C34"/>
  <c r="B36" l="1"/>
  <c r="C35"/>
  <c r="D35"/>
  <c r="C36" l="1"/>
  <c r="D36"/>
  <c r="B37"/>
  <c r="D37" l="1"/>
  <c r="C37"/>
  <c r="B38"/>
  <c r="B39" l="1"/>
  <c r="D38"/>
  <c r="C38"/>
  <c r="B40" l="1"/>
  <c r="C39"/>
  <c r="D39"/>
  <c r="C40" l="1"/>
  <c r="D40"/>
  <c r="B41"/>
  <c r="D41" l="1"/>
  <c r="C41"/>
  <c r="B42"/>
  <c r="B43" l="1"/>
  <c r="D42"/>
  <c r="C42"/>
  <c r="B44" l="1"/>
  <c r="C43"/>
  <c r="D43"/>
  <c r="C44" l="1"/>
  <c r="D44"/>
  <c r="B45"/>
  <c r="D45" l="1"/>
  <c r="C45"/>
  <c r="B46"/>
  <c r="B47" l="1"/>
  <c r="D46"/>
  <c r="C46"/>
  <c r="B48" l="1"/>
  <c r="D47"/>
  <c r="C47"/>
  <c r="C48" l="1"/>
  <c r="B49"/>
  <c r="D48"/>
  <c r="D49" l="1"/>
  <c r="C49"/>
  <c r="B50"/>
  <c r="B51" l="1"/>
  <c r="D50"/>
  <c r="C50"/>
  <c r="C51" l="1"/>
  <c r="B52"/>
  <c r="D51"/>
  <c r="C52" l="1"/>
  <c r="B53"/>
  <c r="D52"/>
  <c r="D53" l="1"/>
  <c r="C53"/>
</calcChain>
</file>

<file path=xl/sharedStrings.xml><?xml version="1.0" encoding="utf-8"?>
<sst xmlns="http://schemas.openxmlformats.org/spreadsheetml/2006/main" count="313" uniqueCount="122">
  <si>
    <t>TAX RATE</t>
  </si>
  <si>
    <t>DEPRECIATION</t>
  </si>
  <si>
    <t>INCOME STATEMENT</t>
  </si>
  <si>
    <t>PROJECT CASH FLOWS</t>
  </si>
  <si>
    <t>RELEVANT CASH FLOWS</t>
  </si>
  <si>
    <t>TOTAL CASH FLOWS</t>
  </si>
  <si>
    <t>NPV</t>
  </si>
  <si>
    <t>PV</t>
  </si>
  <si>
    <t>IRR</t>
  </si>
  <si>
    <t>PRESENT VALUES</t>
  </si>
  <si>
    <t>YEAR END</t>
  </si>
  <si>
    <t>current dividend</t>
  </si>
  <si>
    <t>tax rate</t>
  </si>
  <si>
    <t>after tax cost of debt</t>
  </si>
  <si>
    <t>Weights</t>
  </si>
  <si>
    <t>ECONOMIC LIFE</t>
  </si>
  <si>
    <t>PROFITABILITY INDEX</t>
  </si>
  <si>
    <t>bond</t>
  </si>
  <si>
    <t>cost of common equity (ddm)</t>
  </si>
  <si>
    <t>NET WORKING CAPITAL INVESTMENT / DISINVESTMENT</t>
  </si>
  <si>
    <t>PAYBACK PERIOD (YEARS)</t>
  </si>
  <si>
    <t>WACC</t>
  </si>
  <si>
    <t>DATA</t>
  </si>
  <si>
    <t>coupon rate</t>
  </si>
  <si>
    <t>coupons per annum</t>
  </si>
  <si>
    <t>maturity</t>
  </si>
  <si>
    <t>face value</t>
  </si>
  <si>
    <t>market value</t>
  </si>
  <si>
    <t>yield to maturity (cost of debt)</t>
  </si>
  <si>
    <t>common stock</t>
  </si>
  <si>
    <t>market price</t>
  </si>
  <si>
    <t>growth rate (g)</t>
  </si>
  <si>
    <t>targeted capital structure</t>
  </si>
  <si>
    <t>Costs</t>
  </si>
  <si>
    <t>Market values</t>
  </si>
  <si>
    <t>Totals</t>
  </si>
  <si>
    <t>SALVAGE VALUE</t>
  </si>
  <si>
    <t>INVESTMENT IN WORKING CAPITAL</t>
  </si>
  <si>
    <t>ANNUAL SALES (UNITS)</t>
  </si>
  <si>
    <t>SALE PRICE PER UNIT</t>
  </si>
  <si>
    <t>EXPECTED SELLING PRICE @ YEAR 2</t>
  </si>
  <si>
    <t>Cost of software fairs</t>
  </si>
  <si>
    <t>THIS IS NOT AN INCREMENTAL EXPENSE OR CASH FLOW; IT IS A SUNK COST, ALREADY TAKEN REGARDLESS OF WHETHER THE FIRM WILL GO ON WITH THE INVESTMENT</t>
  </si>
  <si>
    <t>DEPRECIATION EXPENSE</t>
  </si>
  <si>
    <t>VARIABLE COSTS PER UNIT</t>
  </si>
  <si>
    <t>FIXED COSTS</t>
  </si>
  <si>
    <t>SALES</t>
  </si>
  <si>
    <t>VARIABLE COSTS</t>
  </si>
  <si>
    <t>SCENARIO A: PROBABILITY OF OCCURRENCE =</t>
  </si>
  <si>
    <t>SCENARIO B: PROBABILITY OF OCCURRENCE =</t>
  </si>
  <si>
    <t>EXPECTED TOTAL CASH FLOWS</t>
  </si>
  <si>
    <t>STANDARD DEVIATION</t>
  </si>
  <si>
    <t>C.V.</t>
  </si>
  <si>
    <t>EBIT</t>
  </si>
  <si>
    <t>INCOME TAX @ 25%</t>
  </si>
  <si>
    <t>INITIAL INVESTMENT IN NEW MACHINERY</t>
  </si>
  <si>
    <t>SALE OF NEW MACHINERY</t>
  </si>
  <si>
    <t>INITIAL INVESTMENT IN MACHINERY</t>
  </si>
  <si>
    <t>Probability of Scenario A</t>
  </si>
  <si>
    <t>Scenario A's Total Cash Flows</t>
  </si>
  <si>
    <t>Scenario B's Total Cash Flows</t>
  </si>
  <si>
    <t>Probability of Scenario B</t>
  </si>
  <si>
    <t>EXPECTED RESULTS</t>
  </si>
  <si>
    <t>NET OPERATING INCOME AFTER TAX</t>
  </si>
  <si>
    <t>ALTERNATIVE A</t>
  </si>
  <si>
    <t>INITIAL INVESTMENT IN OLD SHIP</t>
  </si>
  <si>
    <t>EXPECTED SELLING PRICE @ YEAR 5 (AS SCRAP)</t>
  </si>
  <si>
    <t>COSTS</t>
  </si>
  <si>
    <t>GROSS AMOUNT OF NEW PREFERRED EQUITY</t>
  </si>
  <si>
    <t>OFFER PRICE PER PREFERRED STOCK</t>
  </si>
  <si>
    <t>NUMBER OF PREFERRES SHARES ISSUED</t>
  </si>
  <si>
    <t>PREFERRED DIVIDEND PER SHARE</t>
  </si>
  <si>
    <t>FLOTATION COSTS (%)</t>
  </si>
  <si>
    <t>COST OF NEW PREFERRED EQUITY</t>
  </si>
  <si>
    <t>NET AMOUNT RECEIVED FROM ISSUANCE OF PREFERRED STOCK</t>
  </si>
  <si>
    <t>NET AMOUNT NEEDED FOR FUNDING</t>
  </si>
  <si>
    <t>BOND ISSUANCE AMOUNT</t>
  </si>
  <si>
    <t>NOMINAL PRETAX COST OF NEW DEBT</t>
  </si>
  <si>
    <t>REAL PRETAX COST OF NEW DEBT</t>
  </si>
  <si>
    <t>PREFERRED EQUITY WEIGHT</t>
  </si>
  <si>
    <t>DEBT WEIGHT</t>
  </si>
  <si>
    <t>INCOME TAX @ 35%</t>
  </si>
  <si>
    <t>SALE OF PURCHASED SHIP</t>
  </si>
  <si>
    <t>PROFIT / LOSS ON SALE OF ASSETS</t>
  </si>
  <si>
    <t>ALTERNATIVE B</t>
  </si>
  <si>
    <t>UPGRADE COST</t>
  </si>
  <si>
    <t>ALTERNATIVE C</t>
  </si>
  <si>
    <t>INITIAL INVESTMENT IN NEW SHIP</t>
  </si>
  <si>
    <t>EXPECTED SELLING PRICE @ YEAR 5</t>
  </si>
  <si>
    <t>zero coupon bond</t>
  </si>
  <si>
    <t>preferred stock</t>
  </si>
  <si>
    <t>dividends per annum</t>
  </si>
  <si>
    <t>flotation costs</t>
  </si>
  <si>
    <t>flotation costs (%)</t>
  </si>
  <si>
    <t>preferred dividend</t>
  </si>
  <si>
    <t>cost of preferred shares</t>
  </si>
  <si>
    <t>beta</t>
  </si>
  <si>
    <t>risk free rate</t>
  </si>
  <si>
    <t>market risk premium</t>
  </si>
  <si>
    <t>market portfolio expected return</t>
  </si>
  <si>
    <t>cost of common equity (capm)</t>
  </si>
  <si>
    <t>cost of common equity (average)</t>
  </si>
  <si>
    <t>zero-coupon bond</t>
  </si>
  <si>
    <t>dividend yield on par</t>
  </si>
  <si>
    <t>issue price</t>
  </si>
  <si>
    <t>number of shares</t>
  </si>
  <si>
    <t>WACC (with DDM)</t>
  </si>
  <si>
    <t>common stock (DDM)</t>
  </si>
  <si>
    <t>common stock (CAPM)</t>
  </si>
  <si>
    <t>WACC (with CAPM)</t>
  </si>
  <si>
    <t>Cash Flows</t>
  </si>
  <si>
    <t>Discounted Cash Flows</t>
  </si>
  <si>
    <t>Years</t>
  </si>
  <si>
    <t>Project Y</t>
  </si>
  <si>
    <t>Project Z</t>
  </si>
  <si>
    <t>Πρόγραμμα Υ</t>
  </si>
  <si>
    <t>Πρόγραμμα Z</t>
  </si>
  <si>
    <t>Payback period</t>
  </si>
  <si>
    <t>Discounted payback period</t>
  </si>
  <si>
    <t>PI</t>
  </si>
  <si>
    <t>NPV(Y)</t>
  </si>
  <si>
    <t>NPV(Z)</t>
  </si>
</sst>
</file>

<file path=xl/styles.xml><?xml version="1.0" encoding="utf-8"?>
<styleSheet xmlns="http://schemas.openxmlformats.org/spreadsheetml/2006/main">
  <numFmts count="10">
    <numFmt numFmtId="8" formatCode="#,##0.00\ &quot;€&quot;;[Red]\-#,##0.00\ &quot;€&quot;"/>
    <numFmt numFmtId="164" formatCode="_-* #,##0.00_-;\-* #,##0.00_-;_-* &quot;-&quot;??_-;_-@_-"/>
    <numFmt numFmtId="165" formatCode="&quot;$&quot;#,##0.00_);[Red]\(&quot;$&quot;#,##0.00\)"/>
    <numFmt numFmtId="166" formatCode="#,##0.00\ [$€-1]_);[Red]\(#,##0.00\ [$€-1]\)"/>
    <numFmt numFmtId="167" formatCode="#,##0\ [$€-1]_);[Red]\(#,##0\ [$€-1]\)"/>
    <numFmt numFmtId="168" formatCode="#,##0_ ;[Red]\-#,##0\ "/>
    <numFmt numFmtId="169" formatCode="#,##0.0\ [$€-1]_);[Red]\(#,##0.0\ [$€-1]\)"/>
    <numFmt numFmtId="170" formatCode="#,##0.00\ [$€-1];[Red]#,##0.00\ [$€-1]"/>
    <numFmt numFmtId="171" formatCode="#,##0;[Red]#,##0"/>
    <numFmt numFmtId="172" formatCode="_-* #,##0_-;\-* #,##0_-;_-* &quot;-&quot;??_-;_-@_-"/>
  </numFmts>
  <fonts count="10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  <font>
      <u/>
      <sz val="11"/>
      <color theme="11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i/>
      <sz val="12"/>
      <color theme="1"/>
      <name val="Calibri"/>
      <family val="2"/>
      <charset val="161"/>
      <scheme val="minor"/>
    </font>
    <font>
      <b/>
      <i/>
      <sz val="12"/>
      <color theme="1"/>
      <name val="Calibri"/>
      <family val="2"/>
      <charset val="161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25">
    <xf numFmtId="0" fontId="0" fillId="0" borderId="0"/>
    <xf numFmtId="16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19">
    <xf numFmtId="0" fontId="0" fillId="0" borderId="0" xfId="0"/>
    <xf numFmtId="0" fontId="1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0" fontId="7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10" fontId="7" fillId="0" borderId="0" xfId="0" applyNumberFormat="1" applyFont="1"/>
    <xf numFmtId="0" fontId="7" fillId="5" borderId="0" xfId="0" applyFont="1" applyFill="1"/>
    <xf numFmtId="10" fontId="7" fillId="5" borderId="0" xfId="0" applyNumberFormat="1" applyFont="1" applyFill="1"/>
    <xf numFmtId="166" fontId="7" fillId="5" borderId="0" xfId="0" applyNumberFormat="1" applyFont="1" applyFill="1"/>
    <xf numFmtId="0" fontId="6" fillId="5" borderId="0" xfId="0" applyFont="1" applyFill="1"/>
    <xf numFmtId="10" fontId="6" fillId="5" borderId="0" xfId="0" applyNumberFormat="1" applyFont="1" applyFill="1"/>
    <xf numFmtId="166" fontId="7" fillId="0" borderId="0" xfId="0" applyNumberFormat="1" applyFont="1"/>
    <xf numFmtId="0" fontId="7" fillId="4" borderId="0" xfId="0" applyFont="1" applyFill="1"/>
    <xf numFmtId="166" fontId="7" fillId="4" borderId="0" xfId="0" applyNumberFormat="1" applyFont="1" applyFill="1"/>
    <xf numFmtId="10" fontId="7" fillId="4" borderId="0" xfId="0" applyNumberFormat="1" applyFont="1" applyFill="1"/>
    <xf numFmtId="0" fontId="6" fillId="4" borderId="0" xfId="0" applyFont="1" applyFill="1"/>
    <xf numFmtId="10" fontId="6" fillId="4" borderId="0" xfId="0" applyNumberFormat="1" applyFont="1" applyFill="1"/>
    <xf numFmtId="0" fontId="7" fillId="3" borderId="0" xfId="0" applyFont="1" applyFill="1"/>
    <xf numFmtId="0" fontId="6" fillId="3" borderId="0" xfId="0" applyFont="1" applyFill="1" applyAlignment="1">
      <alignment horizontal="center"/>
    </xf>
    <xf numFmtId="10" fontId="7" fillId="3" borderId="0" xfId="0" applyNumberFormat="1" applyFont="1" applyFill="1"/>
    <xf numFmtId="0" fontId="6" fillId="3" borderId="0" xfId="0" applyFont="1" applyFill="1"/>
    <xf numFmtId="10" fontId="6" fillId="3" borderId="0" xfId="0" applyNumberFormat="1" applyFont="1" applyFill="1"/>
    <xf numFmtId="0" fontId="6" fillId="0" borderId="0" xfId="0" applyFont="1"/>
    <xf numFmtId="170" fontId="7" fillId="3" borderId="0" xfId="0" applyNumberFormat="1" applyFont="1" applyFill="1"/>
    <xf numFmtId="0" fontId="8" fillId="3" borderId="0" xfId="0" applyFont="1" applyFill="1"/>
    <xf numFmtId="170" fontId="8" fillId="3" borderId="0" xfId="0" applyNumberFormat="1" applyFont="1" applyFill="1"/>
    <xf numFmtId="10" fontId="8" fillId="3" borderId="0" xfId="0" applyNumberFormat="1" applyFont="1" applyFill="1"/>
    <xf numFmtId="0" fontId="7" fillId="3" borderId="2" xfId="0" applyFont="1" applyFill="1" applyBorder="1"/>
    <xf numFmtId="170" fontId="7" fillId="3" borderId="2" xfId="0" applyNumberFormat="1" applyFont="1" applyFill="1" applyBorder="1"/>
    <xf numFmtId="10" fontId="7" fillId="3" borderId="2" xfId="0" applyNumberFormat="1" applyFont="1" applyFill="1" applyBorder="1"/>
    <xf numFmtId="167" fontId="7" fillId="0" borderId="0" xfId="0" applyNumberFormat="1" applyFont="1"/>
    <xf numFmtId="169" fontId="7" fillId="0" borderId="0" xfId="0" applyNumberFormat="1" applyFont="1"/>
    <xf numFmtId="10" fontId="7" fillId="0" borderId="0" xfId="0" applyNumberFormat="1" applyFont="1" applyAlignment="1">
      <alignment horizontal="right"/>
    </xf>
    <xf numFmtId="0" fontId="7" fillId="0" borderId="0" xfId="0" applyFont="1" applyAlignment="1">
      <alignment horizontal="left"/>
    </xf>
    <xf numFmtId="167" fontId="7" fillId="0" borderId="1" xfId="0" applyNumberFormat="1" applyFont="1" applyBorder="1"/>
    <xf numFmtId="0" fontId="9" fillId="0" borderId="0" xfId="0" applyFont="1"/>
    <xf numFmtId="167" fontId="9" fillId="0" borderId="0" xfId="0" applyNumberFormat="1" applyFont="1"/>
    <xf numFmtId="167" fontId="6" fillId="0" borderId="0" xfId="0" applyNumberFormat="1" applyFont="1"/>
    <xf numFmtId="0" fontId="7" fillId="0" borderId="1" xfId="0" applyFont="1" applyBorder="1"/>
    <xf numFmtId="167" fontId="6" fillId="3" borderId="0" xfId="0" applyNumberFormat="1" applyFont="1" applyFill="1"/>
    <xf numFmtId="165" fontId="7" fillId="0" borderId="0" xfId="0" applyNumberFormat="1" applyFont="1"/>
    <xf numFmtId="164" fontId="6" fillId="3" borderId="0" xfId="1" applyFont="1" applyFill="1"/>
    <xf numFmtId="2" fontId="7" fillId="0" borderId="0" xfId="0" applyNumberFormat="1" applyFont="1"/>
    <xf numFmtId="169" fontId="7" fillId="0" borderId="0" xfId="0" applyNumberFormat="1" applyFont="1" applyAlignment="1">
      <alignment horizontal="center"/>
    </xf>
    <xf numFmtId="169" fontId="7" fillId="0" borderId="0" xfId="0" applyNumberFormat="1" applyFont="1" applyAlignment="1">
      <alignment horizontal="right"/>
    </xf>
    <xf numFmtId="168" fontId="7" fillId="0" borderId="0" xfId="0" applyNumberFormat="1" applyFont="1" applyAlignment="1">
      <alignment horizontal="right"/>
    </xf>
    <xf numFmtId="169" fontId="7" fillId="3" borderId="0" xfId="0" applyNumberFormat="1" applyFont="1" applyFill="1"/>
    <xf numFmtId="171" fontId="7" fillId="0" borderId="0" xfId="0" applyNumberFormat="1" applyFont="1"/>
    <xf numFmtId="0" fontId="7" fillId="6" borderId="0" xfId="0" applyFont="1" applyFill="1"/>
    <xf numFmtId="171" fontId="7" fillId="0" borderId="0" xfId="0" applyNumberFormat="1" applyFont="1" applyAlignment="1">
      <alignment horizontal="center"/>
    </xf>
    <xf numFmtId="167" fontId="7" fillId="0" borderId="0" xfId="0" applyNumberFormat="1" applyFont="1" applyAlignment="1">
      <alignment horizontal="center"/>
    </xf>
    <xf numFmtId="10" fontId="6" fillId="0" borderId="0" xfId="0" applyNumberFormat="1" applyFont="1" applyAlignment="1">
      <alignment horizontal="right"/>
    </xf>
    <xf numFmtId="10" fontId="9" fillId="0" borderId="0" xfId="120" applyNumberFormat="1" applyFont="1"/>
    <xf numFmtId="0" fontId="6" fillId="7" borderId="0" xfId="0" applyFont="1" applyFill="1"/>
    <xf numFmtId="10" fontId="6" fillId="7" borderId="0" xfId="0" applyNumberFormat="1" applyFont="1" applyFill="1"/>
    <xf numFmtId="0" fontId="7" fillId="0" borderId="3" xfId="0" applyFont="1" applyBorder="1"/>
    <xf numFmtId="167" fontId="7" fillId="0" borderId="4" xfId="0" applyNumberFormat="1" applyFont="1" applyBorder="1" applyAlignment="1">
      <alignment horizontal="center"/>
    </xf>
    <xf numFmtId="167" fontId="7" fillId="0" borderId="5" xfId="0" applyNumberFormat="1" applyFont="1" applyBorder="1" applyAlignment="1">
      <alignment horizontal="center"/>
    </xf>
    <xf numFmtId="0" fontId="7" fillId="0" borderId="6" xfId="0" applyFont="1" applyBorder="1"/>
    <xf numFmtId="10" fontId="7" fillId="0" borderId="1" xfId="0" applyNumberFormat="1" applyFont="1" applyBorder="1" applyAlignment="1">
      <alignment horizontal="center"/>
    </xf>
    <xf numFmtId="10" fontId="7" fillId="0" borderId="7" xfId="0" applyNumberFormat="1" applyFont="1" applyBorder="1" applyAlignment="1">
      <alignment horizontal="center"/>
    </xf>
    <xf numFmtId="170" fontId="7" fillId="0" borderId="0" xfId="0" applyNumberFormat="1" applyFont="1"/>
    <xf numFmtId="0" fontId="7" fillId="8" borderId="0" xfId="0" applyFont="1" applyFill="1"/>
    <xf numFmtId="167" fontId="7" fillId="8" borderId="0" xfId="0" applyNumberFormat="1" applyFont="1" applyFill="1"/>
    <xf numFmtId="172" fontId="7" fillId="8" borderId="0" xfId="1" applyNumberFormat="1" applyFont="1" applyFill="1"/>
    <xf numFmtId="166" fontId="7" fillId="8" borderId="0" xfId="0" applyNumberFormat="1" applyFont="1" applyFill="1"/>
    <xf numFmtId="10" fontId="7" fillId="8" borderId="0" xfId="0" applyNumberFormat="1" applyFont="1" applyFill="1" applyAlignment="1">
      <alignment horizontal="right"/>
    </xf>
    <xf numFmtId="167" fontId="7" fillId="5" borderId="0" xfId="0" applyNumberFormat="1" applyFont="1" applyFill="1" applyAlignment="1">
      <alignment horizontal="right"/>
    </xf>
    <xf numFmtId="10" fontId="7" fillId="5" borderId="0" xfId="0" applyNumberFormat="1" applyFont="1" applyFill="1" applyAlignment="1">
      <alignment horizontal="right"/>
    </xf>
    <xf numFmtId="10" fontId="7" fillId="3" borderId="0" xfId="0" applyNumberFormat="1" applyFont="1" applyFill="1" applyAlignment="1">
      <alignment horizontal="right"/>
    </xf>
    <xf numFmtId="8" fontId="7" fillId="0" borderId="0" xfId="0" applyNumberFormat="1" applyFont="1"/>
    <xf numFmtId="10" fontId="7" fillId="8" borderId="0" xfId="0" applyNumberFormat="1" applyFont="1" applyFill="1"/>
    <xf numFmtId="0" fontId="6" fillId="8" borderId="0" xfId="0" applyFont="1" applyFill="1"/>
    <xf numFmtId="166" fontId="6" fillId="8" borderId="0" xfId="0" applyNumberFormat="1" applyFont="1" applyFill="1"/>
    <xf numFmtId="10" fontId="6" fillId="8" borderId="0" xfId="0" applyNumberFormat="1" applyFont="1" applyFill="1"/>
    <xf numFmtId="0" fontId="7" fillId="7" borderId="0" xfId="0" applyFont="1" applyFill="1"/>
    <xf numFmtId="10" fontId="7" fillId="7" borderId="0" xfId="0" applyNumberFormat="1" applyFont="1" applyFill="1"/>
    <xf numFmtId="166" fontId="7" fillId="7" borderId="0" xfId="0" applyNumberFormat="1" applyFont="1" applyFill="1"/>
    <xf numFmtId="0" fontId="6" fillId="2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10" fontId="7" fillId="3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6" fillId="8" borderId="0" xfId="0" applyFont="1" applyFill="1" applyAlignment="1">
      <alignment horizontal="center"/>
    </xf>
    <xf numFmtId="10" fontId="6" fillId="4" borderId="0" xfId="0" applyNumberFormat="1" applyFont="1" applyFill="1" applyAlignment="1">
      <alignment horizontal="center"/>
    </xf>
    <xf numFmtId="166" fontId="7" fillId="4" borderId="0" xfId="0" applyNumberFormat="1" applyFont="1" applyFill="1" applyAlignment="1">
      <alignment horizontal="center"/>
    </xf>
    <xf numFmtId="166" fontId="7" fillId="8" borderId="0" xfId="0" applyNumberFormat="1" applyFont="1" applyFill="1" applyAlignment="1">
      <alignment horizontal="center"/>
    </xf>
    <xf numFmtId="166" fontId="7" fillId="0" borderId="0" xfId="0" applyNumberFormat="1" applyFont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10" fontId="6" fillId="0" borderId="10" xfId="0" applyNumberFormat="1" applyFont="1" applyBorder="1" applyAlignment="1">
      <alignment horizontal="center"/>
    </xf>
    <xf numFmtId="0" fontId="6" fillId="0" borderId="11" xfId="0" applyFont="1" applyBorder="1" applyAlignment="1">
      <alignment horizontal="left"/>
    </xf>
    <xf numFmtId="40" fontId="7" fillId="0" borderId="0" xfId="0" applyNumberFormat="1" applyFont="1" applyAlignment="1">
      <alignment horizontal="center"/>
    </xf>
    <xf numFmtId="40" fontId="7" fillId="0" borderId="12" xfId="0" applyNumberFormat="1" applyFont="1" applyBorder="1" applyAlignment="1">
      <alignment horizontal="center"/>
    </xf>
    <xf numFmtId="166" fontId="7" fillId="0" borderId="12" xfId="0" applyNumberFormat="1" applyFont="1" applyBorder="1" applyAlignment="1">
      <alignment horizontal="center"/>
    </xf>
    <xf numFmtId="0" fontId="6" fillId="0" borderId="13" xfId="0" applyFont="1" applyBorder="1" applyAlignment="1">
      <alignment horizontal="left"/>
    </xf>
    <xf numFmtId="0" fontId="7" fillId="0" borderId="14" xfId="0" applyFont="1" applyBorder="1" applyAlignment="1">
      <alignment horizontal="center"/>
    </xf>
    <xf numFmtId="10" fontId="7" fillId="0" borderId="14" xfId="0" applyNumberFormat="1" applyFont="1" applyBorder="1" applyAlignment="1">
      <alignment horizontal="center"/>
    </xf>
    <xf numFmtId="10" fontId="7" fillId="0" borderId="15" xfId="0" applyNumberFormat="1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10" fontId="7" fillId="0" borderId="11" xfId="0" applyNumberFormat="1" applyFont="1" applyBorder="1" applyAlignment="1">
      <alignment horizontal="center"/>
    </xf>
    <xf numFmtId="10" fontId="7" fillId="0" borderId="13" xfId="0" applyNumberFormat="1" applyFont="1" applyBorder="1" applyAlignment="1">
      <alignment horizontal="center"/>
    </xf>
    <xf numFmtId="166" fontId="7" fillId="0" borderId="14" xfId="0" applyNumberFormat="1" applyFont="1" applyBorder="1" applyAlignment="1">
      <alignment horizontal="center"/>
    </xf>
    <xf numFmtId="166" fontId="7" fillId="0" borderId="15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6" fillId="8" borderId="0" xfId="0" applyFont="1" applyFill="1" applyAlignment="1">
      <alignment horizontal="center"/>
    </xf>
    <xf numFmtId="0" fontId="6" fillId="3" borderId="0" xfId="0" applyFont="1" applyFill="1" applyAlignment="1">
      <alignment horizontal="center" vertical="center" textRotation="42" wrapText="1"/>
    </xf>
    <xf numFmtId="0" fontId="6" fillId="7" borderId="0" xfId="0" applyFont="1" applyFill="1" applyAlignment="1">
      <alignment horizontal="center" vertical="center" textRotation="50"/>
    </xf>
    <xf numFmtId="0" fontId="6" fillId="0" borderId="0" xfId="0" applyFont="1" applyAlignment="1">
      <alignment horizontal="center"/>
    </xf>
    <xf numFmtId="0" fontId="6" fillId="5" borderId="0" xfId="0" applyFont="1" applyFill="1" applyAlignment="1">
      <alignment horizontal="center" vertical="center" textRotation="50"/>
    </xf>
    <xf numFmtId="0" fontId="6" fillId="8" borderId="0" xfId="0" applyFont="1" applyFill="1" applyAlignment="1">
      <alignment horizontal="center" vertical="center" textRotation="50"/>
    </xf>
    <xf numFmtId="0" fontId="6" fillId="4" borderId="0" xfId="0" applyFont="1" applyFill="1" applyAlignment="1">
      <alignment horizontal="center" vertical="center" textRotation="47"/>
    </xf>
  </cellXfs>
  <cellStyles count="125">
    <cellStyle name="Κανονικό" xfId="0" builtinId="0"/>
    <cellStyle name="Κόμμα" xfId="1" builtinId="3"/>
    <cellStyle name="Ποσοστό" xfId="120" builtinId="5"/>
    <cellStyle name="Υπερ-σύνδεση" xfId="2" builtinId="8" hidden="1"/>
    <cellStyle name="Υπερ-σύνδεση" xfId="4" builtinId="8" hidden="1"/>
    <cellStyle name="Υπερ-σύνδεση" xfId="6" builtinId="8" hidden="1"/>
    <cellStyle name="Υπερ-σύνδεση" xfId="8" builtinId="8" hidden="1"/>
    <cellStyle name="Υπερ-σύνδεση" xfId="10" builtinId="8" hidden="1"/>
    <cellStyle name="Υπερ-σύνδεση" xfId="12" builtinId="8" hidden="1"/>
    <cellStyle name="Υπερ-σύνδεση" xfId="14" builtinId="8" hidden="1"/>
    <cellStyle name="Υπερ-σύνδεση" xfId="16" builtinId="8" hidden="1"/>
    <cellStyle name="Υπερ-σύνδεση" xfId="18" builtinId="8" hidden="1"/>
    <cellStyle name="Υπερ-σύνδεση" xfId="20" builtinId="8" hidden="1"/>
    <cellStyle name="Υπερ-σύνδεση" xfId="22" builtinId="8" hidden="1"/>
    <cellStyle name="Υπερ-σύνδεση" xfId="24" builtinId="8" hidden="1"/>
    <cellStyle name="Υπερ-σύνδεση" xfId="26" builtinId="8" hidden="1"/>
    <cellStyle name="Υπερ-σύνδεση" xfId="28" builtinId="8" hidden="1"/>
    <cellStyle name="Υπερ-σύνδεση" xfId="30" builtinId="8" hidden="1"/>
    <cellStyle name="Υπερ-σύνδεση" xfId="32" builtinId="8" hidden="1"/>
    <cellStyle name="Υπερ-σύνδεση" xfId="34" builtinId="8" hidden="1"/>
    <cellStyle name="Υπερ-σύνδεση" xfId="36" builtinId="8" hidden="1"/>
    <cellStyle name="Υπερ-σύνδεση" xfId="38" builtinId="8" hidden="1"/>
    <cellStyle name="Υπερ-σύνδεση" xfId="40" builtinId="8" hidden="1"/>
    <cellStyle name="Υπερ-σύνδεση" xfId="42" builtinId="8" hidden="1"/>
    <cellStyle name="Υπερ-σύνδεση" xfId="44" builtinId="8" hidden="1"/>
    <cellStyle name="Υπερ-σύνδεση" xfId="46" builtinId="8" hidden="1"/>
    <cellStyle name="Υπερ-σύνδεση" xfId="48" builtinId="8" hidden="1"/>
    <cellStyle name="Υπερ-σύνδεση" xfId="50" builtinId="8" hidden="1"/>
    <cellStyle name="Υπερ-σύνδεση" xfId="52" builtinId="8" hidden="1"/>
    <cellStyle name="Υπερ-σύνδεση" xfId="54" builtinId="8" hidden="1"/>
    <cellStyle name="Υπερ-σύνδεση" xfId="56" builtinId="8" hidden="1"/>
    <cellStyle name="Υπερ-σύνδεση" xfId="58" builtinId="8" hidden="1"/>
    <cellStyle name="Υπερ-σύνδεση" xfId="60" builtinId="8" hidden="1"/>
    <cellStyle name="Υπερ-σύνδεση" xfId="62" builtinId="8" hidden="1"/>
    <cellStyle name="Υπερ-σύνδεση" xfId="64" builtinId="8" hidden="1"/>
    <cellStyle name="Υπερ-σύνδεση" xfId="66" builtinId="8" hidden="1"/>
    <cellStyle name="Υπερ-σύνδεση" xfId="68" builtinId="8" hidden="1"/>
    <cellStyle name="Υπερ-σύνδεση" xfId="70" builtinId="8" hidden="1"/>
    <cellStyle name="Υπερ-σύνδεση" xfId="72" builtinId="8" hidden="1"/>
    <cellStyle name="Υπερ-σύνδεση" xfId="74" builtinId="8" hidden="1"/>
    <cellStyle name="Υπερ-σύνδεση" xfId="76" builtinId="8" hidden="1"/>
    <cellStyle name="Υπερ-σύνδεση" xfId="78" builtinId="8" hidden="1"/>
    <cellStyle name="Υπερ-σύνδεση" xfId="80" builtinId="8" hidden="1"/>
    <cellStyle name="Υπερ-σύνδεση" xfId="82" builtinId="8" hidden="1"/>
    <cellStyle name="Υπερ-σύνδεση" xfId="84" builtinId="8" hidden="1"/>
    <cellStyle name="Υπερ-σύνδεση" xfId="86" builtinId="8" hidden="1"/>
    <cellStyle name="Υπερ-σύνδεση" xfId="88" builtinId="8" hidden="1"/>
    <cellStyle name="Υπερ-σύνδεση" xfId="90" builtinId="8" hidden="1"/>
    <cellStyle name="Υπερ-σύνδεση" xfId="92" builtinId="8" hidden="1"/>
    <cellStyle name="Υπερ-σύνδεση" xfId="94" builtinId="8" hidden="1"/>
    <cellStyle name="Υπερ-σύνδεση" xfId="96" builtinId="8" hidden="1"/>
    <cellStyle name="Υπερ-σύνδεση" xfId="98" builtinId="8" hidden="1"/>
    <cellStyle name="Υπερ-σύνδεση" xfId="100" builtinId="8" hidden="1"/>
    <cellStyle name="Υπερ-σύνδεση" xfId="102" builtinId="8" hidden="1"/>
    <cellStyle name="Υπερ-σύνδεση" xfId="104" builtinId="8" hidden="1"/>
    <cellStyle name="Υπερ-σύνδεση" xfId="106" builtinId="8" hidden="1"/>
    <cellStyle name="Υπερ-σύνδεση" xfId="108" builtinId="8" hidden="1"/>
    <cellStyle name="Υπερ-σύνδεση" xfId="110" builtinId="8" hidden="1"/>
    <cellStyle name="Υπερ-σύνδεση" xfId="112" builtinId="8" hidden="1"/>
    <cellStyle name="Υπερ-σύνδεση" xfId="114" builtinId="8" hidden="1"/>
    <cellStyle name="Υπερ-σύνδεση" xfId="116" builtinId="8" hidden="1"/>
    <cellStyle name="Υπερ-σύνδεση" xfId="118" builtinId="8" hidden="1"/>
    <cellStyle name="Υπερ-σύνδεση" xfId="121" builtinId="8" hidden="1"/>
    <cellStyle name="Υπερ-σύνδεση" xfId="123" builtinId="8" hidden="1"/>
    <cellStyle name="Υπερ-σύνδεση που ακολουθήθηκε" xfId="3" builtinId="9" hidden="1"/>
    <cellStyle name="Υπερ-σύνδεση που ακολουθήθηκε" xfId="5" builtinId="9" hidden="1"/>
    <cellStyle name="Υπερ-σύνδεση που ακολουθήθηκε" xfId="7" builtinId="9" hidden="1"/>
    <cellStyle name="Υπερ-σύνδεση που ακολουθήθηκε" xfId="9" builtinId="9" hidden="1"/>
    <cellStyle name="Υπερ-σύνδεση που ακολουθήθηκε" xfId="11" builtinId="9" hidden="1"/>
    <cellStyle name="Υπερ-σύνδεση που ακολουθήθηκε" xfId="13" builtinId="9" hidden="1"/>
    <cellStyle name="Υπερ-σύνδεση που ακολουθήθηκε" xfId="15" builtinId="9" hidden="1"/>
    <cellStyle name="Υπερ-σύνδεση που ακολουθήθηκε" xfId="17" builtinId="9" hidden="1"/>
    <cellStyle name="Υπερ-σύνδεση που ακολουθήθηκε" xfId="19" builtinId="9" hidden="1"/>
    <cellStyle name="Υπερ-σύνδεση που ακολουθήθηκε" xfId="21" builtinId="9" hidden="1"/>
    <cellStyle name="Υπερ-σύνδεση που ακολουθήθηκε" xfId="23" builtinId="9" hidden="1"/>
    <cellStyle name="Υπερ-σύνδεση που ακολουθήθηκε" xfId="25" builtinId="9" hidden="1"/>
    <cellStyle name="Υπερ-σύνδεση που ακολουθήθηκε" xfId="27" builtinId="9" hidden="1"/>
    <cellStyle name="Υπερ-σύνδεση που ακολουθήθηκε" xfId="29" builtinId="9" hidden="1"/>
    <cellStyle name="Υπερ-σύνδεση που ακολουθήθηκε" xfId="31" builtinId="9" hidden="1"/>
    <cellStyle name="Υπερ-σύνδεση που ακολουθήθηκε" xfId="33" builtinId="9" hidden="1"/>
    <cellStyle name="Υπερ-σύνδεση που ακολουθήθηκε" xfId="35" builtinId="9" hidden="1"/>
    <cellStyle name="Υπερ-σύνδεση που ακολουθήθηκε" xfId="37" builtinId="9" hidden="1"/>
    <cellStyle name="Υπερ-σύνδεση που ακολουθήθηκε" xfId="39" builtinId="9" hidden="1"/>
    <cellStyle name="Υπερ-σύνδεση που ακολουθήθηκε" xfId="41" builtinId="9" hidden="1"/>
    <cellStyle name="Υπερ-σύνδεση που ακολουθήθηκε" xfId="43" builtinId="9" hidden="1"/>
    <cellStyle name="Υπερ-σύνδεση που ακολουθήθηκε" xfId="45" builtinId="9" hidden="1"/>
    <cellStyle name="Υπερ-σύνδεση που ακολουθήθηκε" xfId="47" builtinId="9" hidden="1"/>
    <cellStyle name="Υπερ-σύνδεση που ακολουθήθηκε" xfId="49" builtinId="9" hidden="1"/>
    <cellStyle name="Υπερ-σύνδεση που ακολουθήθηκε" xfId="51" builtinId="9" hidden="1"/>
    <cellStyle name="Υπερ-σύνδεση που ακολουθήθηκε" xfId="53" builtinId="9" hidden="1"/>
    <cellStyle name="Υπερ-σύνδεση που ακολουθήθηκε" xfId="55" builtinId="9" hidden="1"/>
    <cellStyle name="Υπερ-σύνδεση που ακολουθήθηκε" xfId="57" builtinId="9" hidden="1"/>
    <cellStyle name="Υπερ-σύνδεση που ακολουθήθηκε" xfId="59" builtinId="9" hidden="1"/>
    <cellStyle name="Υπερ-σύνδεση που ακολουθήθηκε" xfId="61" builtinId="9" hidden="1"/>
    <cellStyle name="Υπερ-σύνδεση που ακολουθήθηκε" xfId="63" builtinId="9" hidden="1"/>
    <cellStyle name="Υπερ-σύνδεση που ακολουθήθηκε" xfId="65" builtinId="9" hidden="1"/>
    <cellStyle name="Υπερ-σύνδεση που ακολουθήθηκε" xfId="67" builtinId="9" hidden="1"/>
    <cellStyle name="Υπερ-σύνδεση που ακολουθήθηκε" xfId="69" builtinId="9" hidden="1"/>
    <cellStyle name="Υπερ-σύνδεση που ακολουθήθηκε" xfId="71" builtinId="9" hidden="1"/>
    <cellStyle name="Υπερ-σύνδεση που ακολουθήθηκε" xfId="73" builtinId="9" hidden="1"/>
    <cellStyle name="Υπερ-σύνδεση που ακολουθήθηκε" xfId="75" builtinId="9" hidden="1"/>
    <cellStyle name="Υπερ-σύνδεση που ακολουθήθηκε" xfId="77" builtinId="9" hidden="1"/>
    <cellStyle name="Υπερ-σύνδεση που ακολουθήθηκε" xfId="79" builtinId="9" hidden="1"/>
    <cellStyle name="Υπερ-σύνδεση που ακολουθήθηκε" xfId="81" builtinId="9" hidden="1"/>
    <cellStyle name="Υπερ-σύνδεση που ακολουθήθηκε" xfId="83" builtinId="9" hidden="1"/>
    <cellStyle name="Υπερ-σύνδεση που ακολουθήθηκε" xfId="85" builtinId="9" hidden="1"/>
    <cellStyle name="Υπερ-σύνδεση που ακολουθήθηκε" xfId="87" builtinId="9" hidden="1"/>
    <cellStyle name="Υπερ-σύνδεση που ακολουθήθηκε" xfId="89" builtinId="9" hidden="1"/>
    <cellStyle name="Υπερ-σύνδεση που ακολουθήθηκε" xfId="91" builtinId="9" hidden="1"/>
    <cellStyle name="Υπερ-σύνδεση που ακολουθήθηκε" xfId="93" builtinId="9" hidden="1"/>
    <cellStyle name="Υπερ-σύνδεση που ακολουθήθηκε" xfId="95" builtinId="9" hidden="1"/>
    <cellStyle name="Υπερ-σύνδεση που ακολουθήθηκε" xfId="97" builtinId="9" hidden="1"/>
    <cellStyle name="Υπερ-σύνδεση που ακολουθήθηκε" xfId="99" builtinId="9" hidden="1"/>
    <cellStyle name="Υπερ-σύνδεση που ακολουθήθηκε" xfId="101" builtinId="9" hidden="1"/>
    <cellStyle name="Υπερ-σύνδεση που ακολουθήθηκε" xfId="103" builtinId="9" hidden="1"/>
    <cellStyle name="Υπερ-σύνδεση που ακολουθήθηκε" xfId="105" builtinId="9" hidden="1"/>
    <cellStyle name="Υπερ-σύνδεση που ακολουθήθηκε" xfId="107" builtinId="9" hidden="1"/>
    <cellStyle name="Υπερ-σύνδεση που ακολουθήθηκε" xfId="109" builtinId="9" hidden="1"/>
    <cellStyle name="Υπερ-σύνδεση που ακολουθήθηκε" xfId="111" builtinId="9" hidden="1"/>
    <cellStyle name="Υπερ-σύνδεση που ακολουθήθηκε" xfId="113" builtinId="9" hidden="1"/>
    <cellStyle name="Υπερ-σύνδεση που ακολουθήθηκε" xfId="115" builtinId="9" hidden="1"/>
    <cellStyle name="Υπερ-σύνδεση που ακολουθήθηκε" xfId="117" builtinId="9" hidden="1"/>
    <cellStyle name="Υπερ-σύνδεση που ακολουθήθηκε" xfId="119" builtinId="9" hidden="1"/>
    <cellStyle name="Υπερ-σύνδεση που ακολουθήθηκε" xfId="122" builtinId="9" hidden="1"/>
    <cellStyle name="Υπερ-σύνδεση που ακολουθήθηκε" xfId="124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autoTitleDeleted val="1"/>
    <c:plotArea>
      <c:layout/>
      <c:scatterChart>
        <c:scatterStyle val="smoothMarker"/>
        <c:ser>
          <c:idx val="1"/>
          <c:order val="0"/>
          <c:tx>
            <c:strRef>
              <c:f>'SUBJECT 2 - Q4'!$C$3</c:f>
              <c:strCache>
                <c:ptCount val="1"/>
                <c:pt idx="0">
                  <c:v>Project Y</c:v>
                </c:pt>
              </c:strCache>
            </c:strRef>
          </c:tx>
          <c:marker>
            <c:symbol val="none"/>
          </c:marker>
          <c:xVal>
            <c:numRef>
              <c:f>'SUBJECT 2 - Q4'!$B$23:$B$53</c:f>
              <c:numCache>
                <c:formatCode>0.00%</c:formatCode>
                <c:ptCount val="31"/>
                <c:pt idx="0">
                  <c:v>0.05</c:v>
                </c:pt>
                <c:pt idx="1">
                  <c:v>5.5E-2</c:v>
                </c:pt>
                <c:pt idx="2">
                  <c:v>0.06</c:v>
                </c:pt>
                <c:pt idx="3">
                  <c:v>6.5000000000000002E-2</c:v>
                </c:pt>
                <c:pt idx="4">
                  <c:v>7.0000000000000007E-2</c:v>
                </c:pt>
                <c:pt idx="5">
                  <c:v>7.5000000000000011E-2</c:v>
                </c:pt>
                <c:pt idx="6">
                  <c:v>8.0000000000000016E-2</c:v>
                </c:pt>
                <c:pt idx="7">
                  <c:v>8.500000000000002E-2</c:v>
                </c:pt>
                <c:pt idx="8">
                  <c:v>9.0000000000000024E-2</c:v>
                </c:pt>
                <c:pt idx="9">
                  <c:v>9.5000000000000029E-2</c:v>
                </c:pt>
                <c:pt idx="10">
                  <c:v>0.10000000000000003</c:v>
                </c:pt>
                <c:pt idx="11">
                  <c:v>0.10500000000000004</c:v>
                </c:pt>
                <c:pt idx="12">
                  <c:v>0.11000000000000004</c:v>
                </c:pt>
                <c:pt idx="13">
                  <c:v>0.11500000000000005</c:v>
                </c:pt>
                <c:pt idx="14">
                  <c:v>0.12000000000000005</c:v>
                </c:pt>
                <c:pt idx="15">
                  <c:v>0.12500000000000006</c:v>
                </c:pt>
                <c:pt idx="16">
                  <c:v>0.13000000000000006</c:v>
                </c:pt>
                <c:pt idx="17">
                  <c:v>0.13500000000000006</c:v>
                </c:pt>
                <c:pt idx="18">
                  <c:v>0.14000000000000007</c:v>
                </c:pt>
                <c:pt idx="19">
                  <c:v>0.14500000000000007</c:v>
                </c:pt>
                <c:pt idx="20">
                  <c:v>0.15000000000000008</c:v>
                </c:pt>
                <c:pt idx="21">
                  <c:v>0.15500000000000008</c:v>
                </c:pt>
                <c:pt idx="22">
                  <c:v>0.16000000000000009</c:v>
                </c:pt>
                <c:pt idx="23">
                  <c:v>0.16500000000000009</c:v>
                </c:pt>
                <c:pt idx="24">
                  <c:v>0.1700000000000001</c:v>
                </c:pt>
                <c:pt idx="25">
                  <c:v>0.1750000000000001</c:v>
                </c:pt>
                <c:pt idx="26">
                  <c:v>0.1800000000000001</c:v>
                </c:pt>
                <c:pt idx="27">
                  <c:v>0.18500000000000011</c:v>
                </c:pt>
                <c:pt idx="28">
                  <c:v>0.19000000000000011</c:v>
                </c:pt>
                <c:pt idx="29">
                  <c:v>0.19500000000000012</c:v>
                </c:pt>
                <c:pt idx="30">
                  <c:v>0.20000000000000012</c:v>
                </c:pt>
              </c:numCache>
            </c:numRef>
          </c:xVal>
          <c:yVal>
            <c:numRef>
              <c:f>'SUBJECT 2 - Q4'!$C$23:$C$53</c:f>
              <c:numCache>
                <c:formatCode>#,##0.00\ [$€-1]_);[Red]\(#,##0.00\ [$€-1]\)</c:formatCode>
                <c:ptCount val="31"/>
                <c:pt idx="0">
                  <c:v>10180.326098693433</c:v>
                </c:pt>
                <c:pt idx="1">
                  <c:v>9268.1413137907948</c:v>
                </c:pt>
                <c:pt idx="2">
                  <c:v>8367.7129442425357</c:v>
                </c:pt>
                <c:pt idx="3">
                  <c:v>7478.8259485572635</c:v>
                </c:pt>
                <c:pt idx="4">
                  <c:v>6601.2703227559978</c:v>
                </c:pt>
                <c:pt idx="5">
                  <c:v>5734.8409573999961</c:v>
                </c:pt>
                <c:pt idx="6">
                  <c:v>4879.3374993649049</c:v>
                </c:pt>
                <c:pt idx="7">
                  <c:v>4034.5642181835719</c:v>
                </c:pt>
                <c:pt idx="8">
                  <c:v>3200.3298767826782</c:v>
                </c:pt>
                <c:pt idx="9">
                  <c:v>2376.4476064504124</c:v>
                </c:pt>
                <c:pt idx="10">
                  <c:v>1562.7347858752473</c:v>
                </c:pt>
                <c:pt idx="11">
                  <c:v>759.01292410565657</c:v>
                </c:pt>
                <c:pt idx="12">
                  <c:v>-34.892452715692343</c:v>
                </c:pt>
                <c:pt idx="13">
                  <c:v>-819.15191098084324</c:v>
                </c:pt>
                <c:pt idx="14">
                  <c:v>-1593.9322157434653</c:v>
                </c:pt>
                <c:pt idx="15">
                  <c:v>-2359.3964334705088</c:v>
                </c:pt>
                <c:pt idx="16">
                  <c:v>-3115.7040315421036</c:v>
                </c:pt>
                <c:pt idx="17">
                  <c:v>-3863.0109746164817</c:v>
                </c:pt>
                <c:pt idx="18">
                  <c:v>-4601.4698179737024</c:v>
                </c:pt>
                <c:pt idx="19">
                  <c:v>-5331.2297979455179</c:v>
                </c:pt>
                <c:pt idx="20">
                  <c:v>-6052.4369195364707</c:v>
                </c:pt>
                <c:pt idx="21">
                  <c:v>-6765.234041334581</c:v>
                </c:pt>
                <c:pt idx="22">
                  <c:v>-7469.7609578088741</c:v>
                </c:pt>
                <c:pt idx="23">
                  <c:v>-8166.1544790845655</c:v>
                </c:pt>
                <c:pt idx="24">
                  <c:v>-8854.5485082851083</c:v>
                </c:pt>
                <c:pt idx="25">
                  <c:v>-9535.0741165252548</c:v>
                </c:pt>
                <c:pt idx="26">
                  <c:v>-10207.859615637455</c:v>
                </c:pt>
                <c:pt idx="27">
                  <c:v>-10873.030628709195</c:v>
                </c:pt>
                <c:pt idx="28">
                  <c:v>-11530.710158507325</c:v>
                </c:pt>
                <c:pt idx="29">
                  <c:v>-12181.018653861058</c:v>
                </c:pt>
                <c:pt idx="30">
                  <c:v>-12824.074074074102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D419-4442-8D6B-F032FA00FA3A}"/>
            </c:ext>
          </c:extLst>
        </c:ser>
        <c:ser>
          <c:idx val="2"/>
          <c:order val="1"/>
          <c:tx>
            <c:strRef>
              <c:f>'SUBJECT 2 - Q4'!$D$3</c:f>
              <c:strCache>
                <c:ptCount val="1"/>
                <c:pt idx="0">
                  <c:v>Project Z</c:v>
                </c:pt>
              </c:strCache>
            </c:strRef>
          </c:tx>
          <c:marker>
            <c:symbol val="none"/>
          </c:marker>
          <c:xVal>
            <c:numRef>
              <c:f>'SUBJECT 2 - Q4'!$B$23:$B$53</c:f>
              <c:numCache>
                <c:formatCode>0.00%</c:formatCode>
                <c:ptCount val="31"/>
                <c:pt idx="0">
                  <c:v>0.05</c:v>
                </c:pt>
                <c:pt idx="1">
                  <c:v>5.5E-2</c:v>
                </c:pt>
                <c:pt idx="2">
                  <c:v>0.06</c:v>
                </c:pt>
                <c:pt idx="3">
                  <c:v>6.5000000000000002E-2</c:v>
                </c:pt>
                <c:pt idx="4">
                  <c:v>7.0000000000000007E-2</c:v>
                </c:pt>
                <c:pt idx="5">
                  <c:v>7.5000000000000011E-2</c:v>
                </c:pt>
                <c:pt idx="6">
                  <c:v>8.0000000000000016E-2</c:v>
                </c:pt>
                <c:pt idx="7">
                  <c:v>8.500000000000002E-2</c:v>
                </c:pt>
                <c:pt idx="8">
                  <c:v>9.0000000000000024E-2</c:v>
                </c:pt>
                <c:pt idx="9">
                  <c:v>9.5000000000000029E-2</c:v>
                </c:pt>
                <c:pt idx="10">
                  <c:v>0.10000000000000003</c:v>
                </c:pt>
                <c:pt idx="11">
                  <c:v>0.10500000000000004</c:v>
                </c:pt>
                <c:pt idx="12">
                  <c:v>0.11000000000000004</c:v>
                </c:pt>
                <c:pt idx="13">
                  <c:v>0.11500000000000005</c:v>
                </c:pt>
                <c:pt idx="14">
                  <c:v>0.12000000000000005</c:v>
                </c:pt>
                <c:pt idx="15">
                  <c:v>0.12500000000000006</c:v>
                </c:pt>
                <c:pt idx="16">
                  <c:v>0.13000000000000006</c:v>
                </c:pt>
                <c:pt idx="17">
                  <c:v>0.13500000000000006</c:v>
                </c:pt>
                <c:pt idx="18">
                  <c:v>0.14000000000000007</c:v>
                </c:pt>
                <c:pt idx="19">
                  <c:v>0.14500000000000007</c:v>
                </c:pt>
                <c:pt idx="20">
                  <c:v>0.15000000000000008</c:v>
                </c:pt>
                <c:pt idx="21">
                  <c:v>0.15500000000000008</c:v>
                </c:pt>
                <c:pt idx="22">
                  <c:v>0.16000000000000009</c:v>
                </c:pt>
                <c:pt idx="23">
                  <c:v>0.16500000000000009</c:v>
                </c:pt>
                <c:pt idx="24">
                  <c:v>0.1700000000000001</c:v>
                </c:pt>
                <c:pt idx="25">
                  <c:v>0.1750000000000001</c:v>
                </c:pt>
                <c:pt idx="26">
                  <c:v>0.1800000000000001</c:v>
                </c:pt>
                <c:pt idx="27">
                  <c:v>0.18500000000000011</c:v>
                </c:pt>
                <c:pt idx="28">
                  <c:v>0.19000000000000011</c:v>
                </c:pt>
                <c:pt idx="29">
                  <c:v>0.19500000000000012</c:v>
                </c:pt>
                <c:pt idx="30">
                  <c:v>0.20000000000000012</c:v>
                </c:pt>
              </c:numCache>
            </c:numRef>
          </c:xVal>
          <c:yVal>
            <c:numRef>
              <c:f>'SUBJECT 2 - Q4'!$D$23:$D$53</c:f>
              <c:numCache>
                <c:formatCode>#,##0.00\ [$€-1]_);[Red]\(#,##0.00\ [$€-1]\)</c:formatCode>
                <c:ptCount val="31"/>
                <c:pt idx="0">
                  <c:v>38306.913419288292</c:v>
                </c:pt>
                <c:pt idx="1">
                  <c:v>33429.73955295817</c:v>
                </c:pt>
                <c:pt idx="2">
                  <c:v>28744.84522437831</c:v>
                </c:pt>
                <c:pt idx="3">
                  <c:v>24243.355004964658</c:v>
                </c:pt>
                <c:pt idx="4">
                  <c:v>19916.855538640433</c:v>
                </c:pt>
                <c:pt idx="5">
                  <c:v>15757.368984450557</c:v>
                </c:pt>
                <c:pt idx="6">
                  <c:v>11757.328120679042</c:v>
                </c:pt>
                <c:pt idx="7">
                  <c:v>7909.5529984538734</c:v>
                </c:pt>
                <c:pt idx="8">
                  <c:v>4207.2290408913541</c:v>
                </c:pt>
                <c:pt idx="9">
                  <c:v>643.88649129892292</c:v>
                </c:pt>
                <c:pt idx="10">
                  <c:v>-2786.6188791625464</c:v>
                </c:pt>
                <c:pt idx="11">
                  <c:v>-6090.1238875832059</c:v>
                </c:pt>
                <c:pt idx="12">
                  <c:v>-9272.1749565228674</c:v>
                </c:pt>
                <c:pt idx="13">
                  <c:v>-12338.044104241679</c:v>
                </c:pt>
                <c:pt idx="14">
                  <c:v>-15292.743974812955</c:v>
                </c:pt>
                <c:pt idx="15">
                  <c:v>-18141.041970320555</c:v>
                </c:pt>
                <c:pt idx="16">
                  <c:v>-20887.473543035579</c:v>
                </c:pt>
                <c:pt idx="17">
                  <c:v>-23536.354701464283</c:v>
                </c:pt>
                <c:pt idx="18">
                  <c:v>-26091.793780462918</c:v>
                </c:pt>
                <c:pt idx="19">
                  <c:v>-28557.702522176871</c:v>
                </c:pt>
                <c:pt idx="20">
                  <c:v>-30937.806511384741</c:v>
                </c:pt>
                <c:pt idx="21">
                  <c:v>-33235.655005871464</c:v>
                </c:pt>
                <c:pt idx="22">
                  <c:v>-35454.630199720443</c:v>
                </c:pt>
                <c:pt idx="23">
                  <c:v>-37597.95595486676</c:v>
                </c:pt>
                <c:pt idx="24">
                  <c:v>-39668.706033898721</c:v>
                </c:pt>
                <c:pt idx="25">
                  <c:v>-41669.811864896401</c:v>
                </c:pt>
                <c:pt idx="26">
                  <c:v>-43604.069867063852</c:v>
                </c:pt>
                <c:pt idx="27">
                  <c:v>-45474.148364011839</c:v>
                </c:pt>
                <c:pt idx="28">
                  <c:v>-47282.59410979283</c:v>
                </c:pt>
                <c:pt idx="29">
                  <c:v>-49031.838451145522</c:v>
                </c:pt>
                <c:pt idx="30">
                  <c:v>-50724.203147888897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D419-4442-8D6B-F032FA00FA3A}"/>
            </c:ext>
          </c:extLst>
        </c:ser>
        <c:dLbls/>
        <c:axId val="114201728"/>
        <c:axId val="114203648"/>
      </c:scatterChart>
      <c:valAx>
        <c:axId val="114201728"/>
        <c:scaling>
          <c:orientation val="minMax"/>
          <c:max val="0.2"/>
          <c:min val="4.0000000000000015E-2"/>
        </c:scaling>
        <c:axPos val="b"/>
        <c:majorGridlines/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WACC</a:t>
                </a:r>
              </a:p>
            </c:rich>
          </c:tx>
        </c:title>
        <c:numFmt formatCode="0.00%" sourceLinked="1"/>
        <c:tickLblPos val="nextTo"/>
        <c:crossAx val="114203648"/>
        <c:crosses val="autoZero"/>
        <c:crossBetween val="midCat"/>
        <c:majorUnit val="3.0000000000000009E-2"/>
      </c:valAx>
      <c:valAx>
        <c:axId val="114203648"/>
        <c:scaling>
          <c:orientation val="minMax"/>
          <c:max val="40000"/>
          <c:min val="-51000"/>
        </c:scaling>
        <c:axPos val="l"/>
        <c:majorGridlines>
          <c:spPr>
            <a:ln>
              <a:noFill/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NPV</a:t>
                </a:r>
              </a:p>
            </c:rich>
          </c:tx>
        </c:title>
        <c:numFmt formatCode="#,##0.00\ [$€-1]_);[Red]\(#,##0.00\ [$€-1]\)" sourceLinked="1"/>
        <c:tickLblPos val="nextTo"/>
        <c:crossAx val="114201728"/>
        <c:crosses val="autoZero"/>
        <c:crossBetween val="midCat"/>
      </c:valAx>
    </c:plotArea>
    <c:legend>
      <c:legendPos val="t"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485775</xdr:colOff>
      <xdr:row>20</xdr:row>
      <xdr:rowOff>133350</xdr:rowOff>
    </xdr:from>
    <xdr:to>
      <xdr:col>11</xdr:col>
      <xdr:colOff>352425</xdr:colOff>
      <xdr:row>37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C6E02726-8DE5-4B95-8B2C-BAA7FB92A9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1"/>
  <sheetViews>
    <sheetView showGridLines="0" tabSelected="1" topLeftCell="A25" workbookViewId="0">
      <selection activeCell="C25" sqref="C25"/>
    </sheetView>
  </sheetViews>
  <sheetFormatPr defaultColWidth="9.109375" defaultRowHeight="15.6"/>
  <cols>
    <col min="1" max="1" width="63" style="6" bestFit="1" customWidth="1"/>
    <col min="2" max="2" width="14.5546875" style="6" customWidth="1"/>
    <col min="3" max="3" width="14.5546875" style="6" bestFit="1" customWidth="1"/>
    <col min="4" max="4" width="16.44140625" style="6" bestFit="1" customWidth="1"/>
    <col min="5" max="5" width="14.6640625" style="6" bestFit="1" customWidth="1"/>
    <col min="6" max="7" width="15.5546875" style="6" bestFit="1" customWidth="1"/>
    <col min="8" max="28" width="14.88671875" style="6" customWidth="1"/>
    <col min="29" max="30" width="11.33203125" style="6" bestFit="1" customWidth="1"/>
    <col min="31" max="32" width="12.33203125" style="6" bestFit="1" customWidth="1"/>
    <col min="33" max="33" width="13.88671875" style="6" bestFit="1" customWidth="1"/>
    <col min="34" max="34" width="12" style="6" bestFit="1" customWidth="1"/>
    <col min="35" max="35" width="10.44140625" style="6" bestFit="1" customWidth="1"/>
    <col min="36" max="38" width="11.33203125" style="6" bestFit="1" customWidth="1"/>
    <col min="39" max="39" width="13.88671875" style="6" bestFit="1" customWidth="1"/>
    <col min="40" max="44" width="12" style="6" bestFit="1" customWidth="1"/>
    <col min="45" max="45" width="13.88671875" style="6" bestFit="1" customWidth="1"/>
    <col min="46" max="50" width="12.88671875" style="6" bestFit="1" customWidth="1"/>
    <col min="51" max="51" width="13.88671875" style="6" bestFit="1" customWidth="1"/>
    <col min="52" max="56" width="12.88671875" style="6" bestFit="1" customWidth="1"/>
    <col min="57" max="57" width="13.88671875" style="6" bestFit="1" customWidth="1"/>
    <col min="58" max="62" width="12.33203125" style="6" bestFit="1" customWidth="1"/>
    <col min="63" max="63" width="13.88671875" style="6" bestFit="1" customWidth="1"/>
    <col min="64" max="65" width="11.33203125" style="6" bestFit="1" customWidth="1"/>
    <col min="66" max="68" width="12.33203125" style="6" bestFit="1" customWidth="1"/>
    <col min="69" max="69" width="13.88671875" style="6" bestFit="1" customWidth="1"/>
    <col min="70" max="70" width="10.44140625" style="6" bestFit="1" customWidth="1"/>
    <col min="71" max="74" width="11.33203125" style="6" bestFit="1" customWidth="1"/>
    <col min="75" max="75" width="13.88671875" style="6" bestFit="1" customWidth="1"/>
    <col min="76" max="80" width="12" style="6" bestFit="1" customWidth="1"/>
    <col min="81" max="81" width="13.88671875" style="6" bestFit="1" customWidth="1"/>
    <col min="82" max="86" width="12.88671875" style="6" bestFit="1" customWidth="1"/>
    <col min="87" max="87" width="13.88671875" style="6" bestFit="1" customWidth="1"/>
    <col min="88" max="92" width="12.33203125" style="6" bestFit="1" customWidth="1"/>
    <col min="93" max="93" width="13.88671875" style="6" bestFit="1" customWidth="1"/>
    <col min="94" max="98" width="12.33203125" style="6" bestFit="1" customWidth="1"/>
    <col min="99" max="99" width="13.88671875" style="6" bestFit="1" customWidth="1"/>
    <col min="100" max="100" width="11.33203125" style="6" bestFit="1" customWidth="1"/>
    <col min="101" max="104" width="12.33203125" style="6" bestFit="1" customWidth="1"/>
    <col min="105" max="105" width="13.88671875" style="6" bestFit="1" customWidth="1"/>
    <col min="106" max="106" width="10" style="6" bestFit="1" customWidth="1"/>
    <col min="107" max="110" width="11.33203125" style="6" bestFit="1" customWidth="1"/>
    <col min="111" max="111" width="13.88671875" style="6" bestFit="1" customWidth="1"/>
    <col min="112" max="115" width="12" style="6" bestFit="1" customWidth="1"/>
    <col min="116" max="116" width="10.44140625" style="6" bestFit="1" customWidth="1"/>
    <col min="117" max="117" width="13.88671875" style="6" bestFit="1" customWidth="1"/>
    <col min="118" max="122" width="12.33203125" style="6" bestFit="1" customWidth="1"/>
    <col min="123" max="123" width="13.88671875" style="6" bestFit="1" customWidth="1"/>
    <col min="124" max="128" width="12.33203125" style="6" bestFit="1" customWidth="1"/>
    <col min="129" max="129" width="13.88671875" style="6" bestFit="1" customWidth="1"/>
    <col min="130" max="134" width="12.33203125" style="6" bestFit="1" customWidth="1"/>
    <col min="135" max="135" width="13.88671875" style="6" bestFit="1" customWidth="1"/>
    <col min="136" max="136" width="11.33203125" style="6" bestFit="1" customWidth="1"/>
    <col min="137" max="140" width="12.33203125" style="6" bestFit="1" customWidth="1"/>
    <col min="141" max="141" width="13.88671875" style="6" bestFit="1" customWidth="1"/>
    <col min="142" max="145" width="11.33203125" style="6" bestFit="1" customWidth="1"/>
    <col min="146" max="146" width="12.33203125" style="6" bestFit="1" customWidth="1"/>
    <col min="147" max="147" width="13.88671875" style="6" bestFit="1" customWidth="1"/>
    <col min="148" max="148" width="12.88671875" style="6" bestFit="1" customWidth="1"/>
    <col min="149" max="16384" width="9.109375" style="6"/>
  </cols>
  <sheetData>
    <row r="1" spans="1:10">
      <c r="A1" s="24" t="s">
        <v>64</v>
      </c>
      <c r="B1" s="53"/>
    </row>
    <row r="2" spans="1:10" ht="15.75" customHeight="1">
      <c r="A2" s="6" t="s">
        <v>65</v>
      </c>
      <c r="B2" s="32">
        <v>13000000</v>
      </c>
      <c r="G2" s="1"/>
      <c r="H2" s="1"/>
    </row>
    <row r="3" spans="1:10" ht="15.75" customHeight="1">
      <c r="A3" s="6" t="s">
        <v>36</v>
      </c>
      <c r="B3" s="32">
        <v>0</v>
      </c>
      <c r="G3" s="1"/>
      <c r="H3" s="1"/>
    </row>
    <row r="4" spans="1:10" ht="15.75" customHeight="1">
      <c r="A4" s="6" t="s">
        <v>66</v>
      </c>
      <c r="B4" s="32">
        <v>1000000</v>
      </c>
      <c r="G4" s="33"/>
      <c r="H4" s="33"/>
    </row>
    <row r="5" spans="1:10" ht="15.75" customHeight="1">
      <c r="A5" s="6" t="s">
        <v>15</v>
      </c>
      <c r="B5" s="6">
        <v>5</v>
      </c>
      <c r="G5" s="33"/>
      <c r="H5" s="33"/>
    </row>
    <row r="6" spans="1:10" ht="15.75" customHeight="1">
      <c r="A6" s="6" t="s">
        <v>43</v>
      </c>
      <c r="B6" s="32">
        <f>(B2-B3)/B5</f>
        <v>2600000</v>
      </c>
      <c r="G6" s="33"/>
      <c r="H6" s="33"/>
    </row>
    <row r="7" spans="1:10" ht="15.75" customHeight="1">
      <c r="A7" s="6" t="s">
        <v>0</v>
      </c>
      <c r="B7" s="34">
        <v>0.35</v>
      </c>
      <c r="G7" s="33"/>
      <c r="H7" s="33"/>
    </row>
    <row r="8" spans="1:10" ht="15.75" customHeight="1">
      <c r="A8" s="110" t="s">
        <v>10</v>
      </c>
      <c r="B8" s="110"/>
      <c r="C8" s="110"/>
      <c r="D8" s="110"/>
      <c r="E8" s="110"/>
      <c r="F8" s="110"/>
      <c r="G8" s="110"/>
      <c r="H8" s="33"/>
    </row>
    <row r="9" spans="1:10" ht="15.75" customHeight="1">
      <c r="B9" s="5">
        <v>0</v>
      </c>
      <c r="C9" s="5">
        <f>B9+1</f>
        <v>1</v>
      </c>
      <c r="D9" s="5">
        <f t="shared" ref="D9:G9" si="0">C9+1</f>
        <v>2</v>
      </c>
      <c r="E9" s="5">
        <f t="shared" si="0"/>
        <v>3</v>
      </c>
      <c r="F9" s="5">
        <f t="shared" si="0"/>
        <v>4</v>
      </c>
      <c r="G9" s="5">
        <f t="shared" si="0"/>
        <v>5</v>
      </c>
      <c r="H9" s="33"/>
    </row>
    <row r="10" spans="1:10" ht="15.75" customHeight="1">
      <c r="A10" s="6" t="s">
        <v>37</v>
      </c>
      <c r="B10" s="32">
        <v>1000000</v>
      </c>
      <c r="C10" s="32">
        <v>100000</v>
      </c>
      <c r="D10" s="32">
        <f>C10</f>
        <v>100000</v>
      </c>
      <c r="E10" s="32">
        <f>D10</f>
        <v>100000</v>
      </c>
      <c r="F10" s="32">
        <f>E10</f>
        <v>100000</v>
      </c>
      <c r="G10" s="33">
        <f>-SUM(B10:F10)</f>
        <v>-1400000</v>
      </c>
      <c r="H10" s="33"/>
    </row>
    <row r="11" spans="1:10" hidden="1">
      <c r="A11" s="6" t="s">
        <v>41</v>
      </c>
      <c r="B11" s="32">
        <v>7000</v>
      </c>
      <c r="C11" s="19" t="s">
        <v>42</v>
      </c>
      <c r="D11" s="19"/>
      <c r="E11" s="19"/>
      <c r="F11" s="19"/>
      <c r="G11" s="48"/>
      <c r="H11" s="48"/>
      <c r="I11" s="19"/>
      <c r="J11" s="19"/>
    </row>
    <row r="12" spans="1:10" ht="15.75" customHeight="1">
      <c r="G12" s="33"/>
      <c r="H12" s="33"/>
    </row>
    <row r="13" spans="1:10" ht="15.75" customHeight="1">
      <c r="A13" s="64" t="s">
        <v>68</v>
      </c>
      <c r="B13" s="65">
        <v>14000000</v>
      </c>
      <c r="C13" s="4"/>
      <c r="D13" s="4"/>
      <c r="E13" s="4"/>
      <c r="F13" s="4"/>
      <c r="G13" s="33"/>
      <c r="H13" s="33"/>
    </row>
    <row r="14" spans="1:10" ht="15.75" customHeight="1">
      <c r="A14" s="64" t="s">
        <v>69</v>
      </c>
      <c r="B14" s="65">
        <v>5</v>
      </c>
      <c r="C14" s="4"/>
      <c r="D14" s="4"/>
      <c r="E14" s="4"/>
      <c r="F14" s="4"/>
      <c r="G14" s="33"/>
      <c r="H14" s="33"/>
    </row>
    <row r="15" spans="1:10" ht="15.75" customHeight="1">
      <c r="A15" s="64" t="s">
        <v>70</v>
      </c>
      <c r="B15" s="66">
        <f>B13/B14</f>
        <v>2800000</v>
      </c>
      <c r="C15" s="4"/>
      <c r="D15" s="4"/>
      <c r="E15" s="4"/>
      <c r="F15" s="4"/>
      <c r="G15" s="33"/>
      <c r="H15" s="33"/>
    </row>
    <row r="16" spans="1:10" ht="15.75" customHeight="1">
      <c r="A16" s="64" t="s">
        <v>71</v>
      </c>
      <c r="B16" s="67">
        <v>0.5</v>
      </c>
      <c r="C16" s="4"/>
      <c r="D16" s="4"/>
      <c r="E16" s="4"/>
      <c r="F16" s="4"/>
      <c r="G16" s="33"/>
      <c r="H16" s="33"/>
    </row>
    <row r="17" spans="1:8" ht="15.75" customHeight="1">
      <c r="A17" s="64" t="s">
        <v>72</v>
      </c>
      <c r="B17" s="68">
        <v>1.4999999999999999E-2</v>
      </c>
      <c r="C17" s="4"/>
      <c r="D17" s="4"/>
      <c r="E17" s="4"/>
      <c r="F17" s="4"/>
      <c r="G17" s="33"/>
      <c r="H17" s="33"/>
    </row>
    <row r="18" spans="1:8" s="3" customFormat="1">
      <c r="A18" s="64" t="s">
        <v>73</v>
      </c>
      <c r="B18" s="68">
        <f>B16/(B14*(1-B17))</f>
        <v>0.10152284263959391</v>
      </c>
      <c r="C18" s="6"/>
      <c r="D18" s="6"/>
      <c r="E18" s="6"/>
      <c r="F18" s="6"/>
    </row>
    <row r="19" spans="1:8" s="3" customFormat="1">
      <c r="A19" s="64" t="s">
        <v>74</v>
      </c>
      <c r="B19" s="65">
        <f>B14*(1-B17)*B15</f>
        <v>13790000</v>
      </c>
      <c r="C19" s="6"/>
      <c r="D19" s="6"/>
      <c r="E19" s="6"/>
      <c r="F19" s="6"/>
    </row>
    <row r="20" spans="1:8" s="3" customFormat="1">
      <c r="A20" s="6"/>
      <c r="B20" s="34"/>
      <c r="C20" s="6"/>
      <c r="D20" s="6"/>
      <c r="E20" s="6"/>
      <c r="F20" s="6"/>
    </row>
    <row r="21" spans="1:8" s="3" customFormat="1">
      <c r="A21" s="8" t="s">
        <v>75</v>
      </c>
      <c r="B21" s="69">
        <f>B2+B10-B19</f>
        <v>210000</v>
      </c>
      <c r="C21" s="6"/>
      <c r="D21" s="6"/>
      <c r="E21" s="6"/>
      <c r="F21" s="6"/>
    </row>
    <row r="22" spans="1:8" s="3" customFormat="1">
      <c r="A22" s="8" t="s">
        <v>72</v>
      </c>
      <c r="B22" s="70">
        <v>1.4999999999999999E-2</v>
      </c>
      <c r="C22" s="6"/>
      <c r="D22" s="6"/>
      <c r="E22" s="6"/>
      <c r="F22" s="6"/>
    </row>
    <row r="23" spans="1:8" s="3" customFormat="1">
      <c r="A23" s="8" t="s">
        <v>76</v>
      </c>
      <c r="B23" s="69">
        <f>B21/(1-B22)</f>
        <v>213197.96954314722</v>
      </c>
      <c r="C23" s="63">
        <f>B23*B22</f>
        <v>3197.9695431472082</v>
      </c>
      <c r="D23" s="6"/>
      <c r="E23" s="6"/>
      <c r="F23" s="6"/>
    </row>
    <row r="24" spans="1:8" s="3" customFormat="1">
      <c r="A24" s="8" t="s">
        <v>77</v>
      </c>
      <c r="B24" s="70">
        <v>0.1</v>
      </c>
      <c r="C24" s="63">
        <f>B23*B24</f>
        <v>21319.796954314723</v>
      </c>
    </row>
    <row r="25" spans="1:8" s="3" customFormat="1">
      <c r="A25" s="8" t="s">
        <v>78</v>
      </c>
      <c r="B25" s="70">
        <f>RATE(B5,-C24,B21,-B23)</f>
        <v>0.10399745229764505</v>
      </c>
      <c r="C25" s="34">
        <f>B25*(1-B7)</f>
        <v>6.7598343993469284E-2</v>
      </c>
    </row>
    <row r="26" spans="1:8" s="3" customFormat="1">
      <c r="A26" s="6"/>
      <c r="B26" s="34"/>
      <c r="C26" s="34"/>
    </row>
    <row r="27" spans="1:8" s="3" customFormat="1">
      <c r="A27" s="19" t="s">
        <v>79</v>
      </c>
      <c r="B27" s="71">
        <f>B19/(B2+B10)</f>
        <v>0.98499999999999999</v>
      </c>
      <c r="C27" s="6"/>
    </row>
    <row r="28" spans="1:8" s="3" customFormat="1">
      <c r="A28" s="19" t="s">
        <v>80</v>
      </c>
      <c r="B28" s="71">
        <f>1-B27</f>
        <v>1.5000000000000013E-2</v>
      </c>
      <c r="C28" s="6"/>
    </row>
    <row r="29" spans="1:8" s="3" customFormat="1">
      <c r="A29" s="19" t="s">
        <v>21</v>
      </c>
      <c r="B29" s="71">
        <f>B27*B18+B28*B25*(1-B7)</f>
        <v>0.10101397515990203</v>
      </c>
      <c r="C29" s="6"/>
    </row>
    <row r="30" spans="1:8" s="3" customFormat="1">
      <c r="A30" s="110" t="s">
        <v>10</v>
      </c>
      <c r="B30" s="110"/>
      <c r="C30" s="110"/>
      <c r="D30" s="110"/>
      <c r="E30" s="110"/>
      <c r="F30" s="110"/>
      <c r="G30" s="110"/>
    </row>
    <row r="31" spans="1:8">
      <c r="A31" s="2" t="s">
        <v>2</v>
      </c>
      <c r="B31" s="5">
        <f>B9</f>
        <v>0</v>
      </c>
      <c r="C31" s="5">
        <f t="shared" ref="C31:G31" si="1">C9</f>
        <v>1</v>
      </c>
      <c r="D31" s="5">
        <f t="shared" si="1"/>
        <v>2</v>
      </c>
      <c r="E31" s="5">
        <f t="shared" si="1"/>
        <v>3</v>
      </c>
      <c r="F31" s="5">
        <f t="shared" si="1"/>
        <v>4</v>
      </c>
      <c r="G31" s="5">
        <f t="shared" si="1"/>
        <v>5</v>
      </c>
    </row>
    <row r="32" spans="1:8">
      <c r="A32" s="35" t="s">
        <v>46</v>
      </c>
      <c r="B32" s="35"/>
      <c r="C32" s="32">
        <v>10800000</v>
      </c>
      <c r="D32" s="32">
        <f>C32</f>
        <v>10800000</v>
      </c>
      <c r="E32" s="32">
        <f>D32</f>
        <v>10800000</v>
      </c>
      <c r="F32" s="32">
        <f>E32</f>
        <v>10800000</v>
      </c>
      <c r="G32" s="32">
        <f>F32</f>
        <v>10800000</v>
      </c>
    </row>
    <row r="33" spans="1:7">
      <c r="A33" s="35" t="s">
        <v>67</v>
      </c>
      <c r="B33" s="35"/>
      <c r="C33" s="32">
        <v>-6500000</v>
      </c>
      <c r="D33" s="32">
        <f>C33</f>
        <v>-6500000</v>
      </c>
      <c r="E33" s="32">
        <f t="shared" ref="E33:G33" si="2">D33</f>
        <v>-6500000</v>
      </c>
      <c r="F33" s="32">
        <f t="shared" si="2"/>
        <v>-6500000</v>
      </c>
      <c r="G33" s="32">
        <f t="shared" si="2"/>
        <v>-6500000</v>
      </c>
    </row>
    <row r="34" spans="1:7">
      <c r="A34" s="35" t="s">
        <v>83</v>
      </c>
      <c r="B34" s="35"/>
      <c r="C34" s="32"/>
      <c r="D34" s="32"/>
      <c r="E34" s="32"/>
      <c r="F34" s="32"/>
      <c r="G34" s="32">
        <f>B4-B3</f>
        <v>1000000</v>
      </c>
    </row>
    <row r="35" spans="1:7">
      <c r="A35" s="6" t="s">
        <v>1</v>
      </c>
      <c r="C35" s="36">
        <f>-$B$6</f>
        <v>-2600000</v>
      </c>
      <c r="D35" s="36">
        <f>-$B$6</f>
        <v>-2600000</v>
      </c>
      <c r="E35" s="36">
        <f>-$B$6</f>
        <v>-2600000</v>
      </c>
      <c r="F35" s="36">
        <f>-$B$6</f>
        <v>-2600000</v>
      </c>
      <c r="G35" s="36">
        <f>-$B$6</f>
        <v>-2600000</v>
      </c>
    </row>
    <row r="36" spans="1:7">
      <c r="A36" s="37" t="s">
        <v>53</v>
      </c>
      <c r="B36" s="37"/>
      <c r="C36" s="38">
        <f>SUM(C32:C35)</f>
        <v>1700000</v>
      </c>
      <c r="D36" s="38">
        <f t="shared" ref="D36:G36" si="3">SUM(D32:D35)</f>
        <v>1700000</v>
      </c>
      <c r="E36" s="38">
        <f t="shared" si="3"/>
        <v>1700000</v>
      </c>
      <c r="F36" s="38">
        <f t="shared" si="3"/>
        <v>1700000</v>
      </c>
      <c r="G36" s="38">
        <f t="shared" si="3"/>
        <v>2700000</v>
      </c>
    </row>
    <row r="37" spans="1:7">
      <c r="A37" s="6" t="s">
        <v>81</v>
      </c>
      <c r="C37" s="36">
        <f>-$B$7*C36</f>
        <v>-595000</v>
      </c>
      <c r="D37" s="36">
        <f t="shared" ref="D37:G37" si="4">-$B$7*D36</f>
        <v>-595000</v>
      </c>
      <c r="E37" s="36">
        <f t="shared" si="4"/>
        <v>-595000</v>
      </c>
      <c r="F37" s="36">
        <f t="shared" si="4"/>
        <v>-595000</v>
      </c>
      <c r="G37" s="36">
        <f t="shared" si="4"/>
        <v>-944999.99999999988</v>
      </c>
    </row>
    <row r="38" spans="1:7">
      <c r="A38" s="24" t="s">
        <v>63</v>
      </c>
      <c r="C38" s="39">
        <f>SUM(C36:C37)</f>
        <v>1105000</v>
      </c>
      <c r="D38" s="39">
        <f t="shared" ref="D38:G38" si="5">SUM(D36:D37)</f>
        <v>1105000</v>
      </c>
      <c r="E38" s="39">
        <f t="shared" si="5"/>
        <v>1105000</v>
      </c>
      <c r="F38" s="39">
        <f t="shared" si="5"/>
        <v>1105000</v>
      </c>
      <c r="G38" s="39">
        <f t="shared" si="5"/>
        <v>1755000</v>
      </c>
    </row>
    <row r="39" spans="1:7">
      <c r="A39" s="110" t="s">
        <v>10</v>
      </c>
      <c r="B39" s="110"/>
      <c r="C39" s="110"/>
      <c r="D39" s="110"/>
      <c r="E39" s="110"/>
      <c r="F39" s="110"/>
      <c r="G39" s="110"/>
    </row>
    <row r="40" spans="1:7">
      <c r="A40" s="24" t="s">
        <v>4</v>
      </c>
      <c r="B40" s="5">
        <f>B9</f>
        <v>0</v>
      </c>
      <c r="C40" s="5">
        <f t="shared" ref="C40:G40" si="6">C9</f>
        <v>1</v>
      </c>
      <c r="D40" s="5">
        <f t="shared" si="6"/>
        <v>2</v>
      </c>
      <c r="E40" s="5">
        <f t="shared" si="6"/>
        <v>3</v>
      </c>
      <c r="F40" s="5">
        <f t="shared" si="6"/>
        <v>4</v>
      </c>
      <c r="G40" s="5">
        <f t="shared" si="6"/>
        <v>5</v>
      </c>
    </row>
    <row r="41" spans="1:7">
      <c r="A41" s="6" t="str">
        <f>A2</f>
        <v>INITIAL INVESTMENT IN OLD SHIP</v>
      </c>
      <c r="B41" s="32">
        <f>-B2</f>
        <v>-13000000</v>
      </c>
      <c r="C41" s="13"/>
      <c r="E41" s="32"/>
      <c r="F41" s="32"/>
    </row>
    <row r="42" spans="1:7">
      <c r="A42" s="6" t="s">
        <v>82</v>
      </c>
      <c r="B42" s="32"/>
      <c r="C42" s="13"/>
      <c r="D42" s="32"/>
      <c r="E42" s="32"/>
      <c r="F42" s="32"/>
      <c r="G42" s="32">
        <f>B4</f>
        <v>1000000</v>
      </c>
    </row>
    <row r="43" spans="1:7">
      <c r="A43" s="6" t="s">
        <v>19</v>
      </c>
      <c r="B43" s="32">
        <f>-B10</f>
        <v>-1000000</v>
      </c>
      <c r="C43" s="32">
        <f>-C10</f>
        <v>-100000</v>
      </c>
      <c r="D43" s="32">
        <f>-D10</f>
        <v>-100000</v>
      </c>
      <c r="E43" s="32">
        <f t="shared" ref="E43:G43" si="7">-E10</f>
        <v>-100000</v>
      </c>
      <c r="F43" s="32">
        <f t="shared" si="7"/>
        <v>-100000</v>
      </c>
      <c r="G43" s="32">
        <f t="shared" si="7"/>
        <v>1400000</v>
      </c>
    </row>
    <row r="44" spans="1:7">
      <c r="A44" s="6" t="s">
        <v>3</v>
      </c>
      <c r="B44" s="40"/>
      <c r="C44" s="36">
        <f>C38-C35-C34</f>
        <v>3705000</v>
      </c>
      <c r="D44" s="36">
        <f t="shared" ref="D44:G44" si="8">D38-D35-D34</f>
        <v>3705000</v>
      </c>
      <c r="E44" s="36">
        <f t="shared" si="8"/>
        <v>3705000</v>
      </c>
      <c r="F44" s="36">
        <f t="shared" si="8"/>
        <v>3705000</v>
      </c>
      <c r="G44" s="36">
        <f t="shared" si="8"/>
        <v>3355000</v>
      </c>
    </row>
    <row r="45" spans="1:7">
      <c r="A45" s="37" t="s">
        <v>5</v>
      </c>
      <c r="B45" s="38">
        <f>SUM(B41:B44)</f>
        <v>-14000000</v>
      </c>
      <c r="C45" s="38">
        <f t="shared" ref="C45" si="9">SUM(C41:C44)</f>
        <v>3605000</v>
      </c>
      <c r="D45" s="38">
        <f t="shared" ref="D45:G45" si="10">SUM(D41:D44)</f>
        <v>3605000</v>
      </c>
      <c r="E45" s="38">
        <f t="shared" si="10"/>
        <v>3605000</v>
      </c>
      <c r="F45" s="38">
        <f t="shared" si="10"/>
        <v>3605000</v>
      </c>
      <c r="G45" s="38">
        <f t="shared" si="10"/>
        <v>5755000</v>
      </c>
    </row>
    <row r="46" spans="1:7">
      <c r="A46" s="6" t="s">
        <v>9</v>
      </c>
      <c r="B46" s="32">
        <f>B45/((1+$B$29)^B40)</f>
        <v>-14000000</v>
      </c>
      <c r="C46" s="32">
        <f t="shared" ref="C46:G46" si="11">C45/((1+$B$29)^C40)</f>
        <v>3274254.5338504356</v>
      </c>
      <c r="D46" s="32">
        <f t="shared" si="11"/>
        <v>2973853.7454757653</v>
      </c>
      <c r="E46" s="32">
        <f t="shared" si="11"/>
        <v>2701013.6225054436</v>
      </c>
      <c r="F46" s="32">
        <f t="shared" si="11"/>
        <v>2453205.5754452804</v>
      </c>
      <c r="G46" s="32">
        <f t="shared" si="11"/>
        <v>3556977.929415755</v>
      </c>
    </row>
    <row r="47" spans="1:7">
      <c r="A47" s="22" t="s">
        <v>6</v>
      </c>
      <c r="B47" s="41">
        <f>SUM(B46:G46)</f>
        <v>959305.40669267904</v>
      </c>
      <c r="C47" s="42"/>
      <c r="D47" s="42"/>
      <c r="E47" s="42"/>
      <c r="F47" s="42"/>
    </row>
    <row r="48" spans="1:7">
      <c r="A48" s="22" t="s">
        <v>7</v>
      </c>
      <c r="B48" s="41">
        <f>SUM(C46:G46)</f>
        <v>14959305.40669268</v>
      </c>
      <c r="C48" s="42"/>
      <c r="D48" s="42"/>
      <c r="E48" s="42"/>
      <c r="F48" s="42"/>
    </row>
    <row r="49" spans="1:7">
      <c r="A49" s="22" t="s">
        <v>8</v>
      </c>
      <c r="B49" s="23">
        <f>IRR(B45:G45)</f>
        <v>0.12578659101717315</v>
      </c>
    </row>
    <row r="50" spans="1:7">
      <c r="A50" s="22" t="s">
        <v>20</v>
      </c>
      <c r="B50" s="43">
        <f>SUM(C50:G50)</f>
        <v>3.883495145631068</v>
      </c>
      <c r="C50" s="44" t="str">
        <f>IF(SUM($B$45:C45)&gt;0,B40+(1-SUM($B$45:C45)/C45),"")</f>
        <v/>
      </c>
      <c r="D50" s="44" t="str">
        <f>IF(SUM($C$50:C50)=0,IF(SUM($B$45:D45)&gt;0,C40+(1-SUM($B$45:D45)/D45),""),"")</f>
        <v/>
      </c>
      <c r="E50" s="44" t="str">
        <f>IF(SUM($C$50:D50)=0,IF(SUM($B$45:E45)&gt;0,D40+(1-SUM($B$45:E45)/E45),""),"")</f>
        <v/>
      </c>
      <c r="F50" s="44">
        <f>IF(SUM($C$50:E50)=0,IF(SUM($B$45:F45)&gt;0,E40+(1-SUM($B$45:F45)/F45),""),"")</f>
        <v>3.883495145631068</v>
      </c>
      <c r="G50" s="44" t="str">
        <f>IF(SUM($C$50:F50)=0,IF(SUM($B$45:G45)&gt;0,F40+(1-SUM($B$45:G45)/G45),""),"")</f>
        <v/>
      </c>
    </row>
    <row r="51" spans="1:7">
      <c r="A51" s="22" t="s">
        <v>16</v>
      </c>
      <c r="B51" s="43">
        <f>B48/(-B45)</f>
        <v>1.068521814763763</v>
      </c>
    </row>
  </sheetData>
  <mergeCells count="3">
    <mergeCell ref="A8:G8"/>
    <mergeCell ref="A39:G39"/>
    <mergeCell ref="A30:G30"/>
  </mergeCells>
  <phoneticPr fontId="5" type="noConversion"/>
  <pageMargins left="0.7" right="0.7" top="0.75" bottom="0.75" header="0.3" footer="0.3"/>
  <pageSetup paperSize="9" orientation="portrait" horizontalDpi="200" verticalDpi="200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J53"/>
  <sheetViews>
    <sheetView showGridLines="0" topLeftCell="A34" workbookViewId="0">
      <selection activeCell="B26" sqref="B26"/>
    </sheetView>
  </sheetViews>
  <sheetFormatPr defaultColWidth="9.109375" defaultRowHeight="15.6"/>
  <cols>
    <col min="1" max="1" width="63" style="6" bestFit="1" customWidth="1"/>
    <col min="2" max="2" width="14.5546875" style="6" customWidth="1"/>
    <col min="3" max="3" width="14.5546875" style="6" bestFit="1" customWidth="1"/>
    <col min="4" max="4" width="16.44140625" style="6" bestFit="1" customWidth="1"/>
    <col min="5" max="5" width="14.6640625" style="6" bestFit="1" customWidth="1"/>
    <col min="6" max="7" width="15.5546875" style="6" bestFit="1" customWidth="1"/>
    <col min="8" max="28" width="14.88671875" style="6" customWidth="1"/>
    <col min="29" max="30" width="11.33203125" style="6" bestFit="1" customWidth="1"/>
    <col min="31" max="32" width="12.33203125" style="6" bestFit="1" customWidth="1"/>
    <col min="33" max="33" width="13.88671875" style="6" bestFit="1" customWidth="1"/>
    <col min="34" max="34" width="12" style="6" bestFit="1" customWidth="1"/>
    <col min="35" max="35" width="10.44140625" style="6" bestFit="1" customWidth="1"/>
    <col min="36" max="38" width="11.33203125" style="6" bestFit="1" customWidth="1"/>
    <col min="39" max="39" width="13.88671875" style="6" bestFit="1" customWidth="1"/>
    <col min="40" max="44" width="12" style="6" bestFit="1" customWidth="1"/>
    <col min="45" max="45" width="13.88671875" style="6" bestFit="1" customWidth="1"/>
    <col min="46" max="50" width="12.88671875" style="6" bestFit="1" customWidth="1"/>
    <col min="51" max="51" width="13.88671875" style="6" bestFit="1" customWidth="1"/>
    <col min="52" max="56" width="12.88671875" style="6" bestFit="1" customWidth="1"/>
    <col min="57" max="57" width="13.88671875" style="6" bestFit="1" customWidth="1"/>
    <col min="58" max="62" width="12.33203125" style="6" bestFit="1" customWidth="1"/>
    <col min="63" max="63" width="13.88671875" style="6" bestFit="1" customWidth="1"/>
    <col min="64" max="65" width="11.33203125" style="6" bestFit="1" customWidth="1"/>
    <col min="66" max="68" width="12.33203125" style="6" bestFit="1" customWidth="1"/>
    <col min="69" max="69" width="13.88671875" style="6" bestFit="1" customWidth="1"/>
    <col min="70" max="70" width="10.44140625" style="6" bestFit="1" customWidth="1"/>
    <col min="71" max="74" width="11.33203125" style="6" bestFit="1" customWidth="1"/>
    <col min="75" max="75" width="13.88671875" style="6" bestFit="1" customWidth="1"/>
    <col min="76" max="80" width="12" style="6" bestFit="1" customWidth="1"/>
    <col min="81" max="81" width="13.88671875" style="6" bestFit="1" customWidth="1"/>
    <col min="82" max="86" width="12.88671875" style="6" bestFit="1" customWidth="1"/>
    <col min="87" max="87" width="13.88671875" style="6" bestFit="1" customWidth="1"/>
    <col min="88" max="92" width="12.33203125" style="6" bestFit="1" customWidth="1"/>
    <col min="93" max="93" width="13.88671875" style="6" bestFit="1" customWidth="1"/>
    <col min="94" max="98" width="12.33203125" style="6" bestFit="1" customWidth="1"/>
    <col min="99" max="99" width="13.88671875" style="6" bestFit="1" customWidth="1"/>
    <col min="100" max="100" width="11.33203125" style="6" bestFit="1" customWidth="1"/>
    <col min="101" max="104" width="12.33203125" style="6" bestFit="1" customWidth="1"/>
    <col min="105" max="105" width="13.88671875" style="6" bestFit="1" customWidth="1"/>
    <col min="106" max="106" width="10" style="6" bestFit="1" customWidth="1"/>
    <col min="107" max="110" width="11.33203125" style="6" bestFit="1" customWidth="1"/>
    <col min="111" max="111" width="13.88671875" style="6" bestFit="1" customWidth="1"/>
    <col min="112" max="115" width="12" style="6" bestFit="1" customWidth="1"/>
    <col min="116" max="116" width="10.44140625" style="6" bestFit="1" customWidth="1"/>
    <col min="117" max="117" width="13.88671875" style="6" bestFit="1" customWidth="1"/>
    <col min="118" max="122" width="12.33203125" style="6" bestFit="1" customWidth="1"/>
    <col min="123" max="123" width="13.88671875" style="6" bestFit="1" customWidth="1"/>
    <col min="124" max="128" width="12.33203125" style="6" bestFit="1" customWidth="1"/>
    <col min="129" max="129" width="13.88671875" style="6" bestFit="1" customWidth="1"/>
    <col min="130" max="134" width="12.33203125" style="6" bestFit="1" customWidth="1"/>
    <col min="135" max="135" width="13.88671875" style="6" bestFit="1" customWidth="1"/>
    <col min="136" max="136" width="11.33203125" style="6" bestFit="1" customWidth="1"/>
    <col min="137" max="140" width="12.33203125" style="6" bestFit="1" customWidth="1"/>
    <col min="141" max="141" width="13.88671875" style="6" bestFit="1" customWidth="1"/>
    <col min="142" max="145" width="11.33203125" style="6" bestFit="1" customWidth="1"/>
    <col min="146" max="146" width="12.33203125" style="6" bestFit="1" customWidth="1"/>
    <col min="147" max="147" width="13.88671875" style="6" bestFit="1" customWidth="1"/>
    <col min="148" max="148" width="12.88671875" style="6" bestFit="1" customWidth="1"/>
    <col min="149" max="16384" width="9.109375" style="6"/>
  </cols>
  <sheetData>
    <row r="1" spans="1:10">
      <c r="A1" s="24" t="s">
        <v>84</v>
      </c>
      <c r="B1" s="53"/>
    </row>
    <row r="2" spans="1:10">
      <c r="A2" s="6" t="s">
        <v>65</v>
      </c>
      <c r="B2" s="32">
        <v>13000000</v>
      </c>
      <c r="G2" s="1"/>
      <c r="H2" s="1"/>
    </row>
    <row r="3" spans="1:10">
      <c r="A3" s="6" t="s">
        <v>85</v>
      </c>
      <c r="B3" s="32">
        <v>3500000</v>
      </c>
      <c r="G3" s="1"/>
      <c r="H3" s="1"/>
    </row>
    <row r="4" spans="1:10">
      <c r="A4" s="6" t="s">
        <v>36</v>
      </c>
      <c r="B4" s="32">
        <v>0</v>
      </c>
      <c r="G4" s="1"/>
      <c r="H4" s="1"/>
    </row>
    <row r="5" spans="1:10">
      <c r="A5" s="6" t="s">
        <v>66</v>
      </c>
      <c r="B5" s="32">
        <v>1000000</v>
      </c>
      <c r="G5" s="33"/>
      <c r="H5" s="33"/>
    </row>
    <row r="6" spans="1:10">
      <c r="A6" s="6" t="s">
        <v>15</v>
      </c>
      <c r="B6" s="6">
        <v>5</v>
      </c>
      <c r="G6" s="33"/>
      <c r="H6" s="33"/>
    </row>
    <row r="7" spans="1:10">
      <c r="A7" s="6" t="s">
        <v>43</v>
      </c>
      <c r="B7" s="32">
        <f>(B2+B3-B4)/B6</f>
        <v>3300000</v>
      </c>
      <c r="G7" s="33"/>
      <c r="H7" s="33"/>
    </row>
    <row r="8" spans="1:10">
      <c r="A8" s="6" t="s">
        <v>0</v>
      </c>
      <c r="B8" s="34">
        <v>0.35</v>
      </c>
      <c r="G8" s="33"/>
      <c r="H8" s="33"/>
    </row>
    <row r="9" spans="1:10">
      <c r="A9" s="110" t="s">
        <v>10</v>
      </c>
      <c r="B9" s="110"/>
      <c r="C9" s="110"/>
      <c r="D9" s="110"/>
      <c r="E9" s="110"/>
      <c r="F9" s="110"/>
      <c r="G9" s="110"/>
      <c r="H9" s="33"/>
    </row>
    <row r="10" spans="1:10">
      <c r="B10" s="109">
        <v>0</v>
      </c>
      <c r="C10" s="109">
        <f>B10+1</f>
        <v>1</v>
      </c>
      <c r="D10" s="109">
        <f t="shared" ref="D10:G10" si="0">C10+1</f>
        <v>2</v>
      </c>
      <c r="E10" s="109">
        <f t="shared" si="0"/>
        <v>3</v>
      </c>
      <c r="F10" s="109">
        <f t="shared" si="0"/>
        <v>4</v>
      </c>
      <c r="G10" s="109">
        <f t="shared" si="0"/>
        <v>5</v>
      </c>
      <c r="H10" s="33"/>
    </row>
    <row r="11" spans="1:10">
      <c r="A11" s="6" t="s">
        <v>37</v>
      </c>
      <c r="B11" s="32">
        <v>0</v>
      </c>
      <c r="C11" s="32">
        <v>1000000</v>
      </c>
      <c r="D11" s="32">
        <v>120000</v>
      </c>
      <c r="E11" s="32">
        <f>D11</f>
        <v>120000</v>
      </c>
      <c r="F11" s="32">
        <f>E11</f>
        <v>120000</v>
      </c>
      <c r="G11" s="33">
        <f>-SUM(B11:F11)</f>
        <v>-1360000</v>
      </c>
      <c r="H11" s="33"/>
    </row>
    <row r="12" spans="1:10">
      <c r="A12" s="6" t="s">
        <v>41</v>
      </c>
      <c r="B12" s="32">
        <v>7000</v>
      </c>
      <c r="C12" s="19" t="s">
        <v>42</v>
      </c>
      <c r="D12" s="19"/>
      <c r="E12" s="19"/>
      <c r="F12" s="19"/>
      <c r="G12" s="48"/>
      <c r="H12" s="48"/>
      <c r="I12" s="19"/>
      <c r="J12" s="19"/>
    </row>
    <row r="13" spans="1:10">
      <c r="G13" s="33"/>
      <c r="H13" s="33"/>
    </row>
    <row r="14" spans="1:10">
      <c r="A14" s="64" t="s">
        <v>68</v>
      </c>
      <c r="B14" s="65">
        <v>14000000</v>
      </c>
      <c r="C14" s="4"/>
      <c r="D14" s="4"/>
      <c r="E14" s="4"/>
      <c r="F14" s="4"/>
      <c r="G14" s="33"/>
      <c r="H14" s="33"/>
    </row>
    <row r="15" spans="1:10">
      <c r="A15" s="64" t="s">
        <v>69</v>
      </c>
      <c r="B15" s="65">
        <v>5</v>
      </c>
      <c r="C15" s="4"/>
      <c r="D15" s="4"/>
      <c r="E15" s="4"/>
      <c r="F15" s="4"/>
      <c r="G15" s="33"/>
      <c r="H15" s="33"/>
    </row>
    <row r="16" spans="1:10">
      <c r="A16" s="64" t="s">
        <v>70</v>
      </c>
      <c r="B16" s="66">
        <f>B14/B15</f>
        <v>2800000</v>
      </c>
      <c r="C16" s="4"/>
      <c r="D16" s="4"/>
      <c r="E16" s="4"/>
      <c r="F16" s="4"/>
      <c r="G16" s="33"/>
      <c r="H16" s="33"/>
    </row>
    <row r="17" spans="1:8">
      <c r="A17" s="64" t="s">
        <v>71</v>
      </c>
      <c r="B17" s="67">
        <v>0.5</v>
      </c>
      <c r="C17" s="4"/>
      <c r="D17" s="4"/>
      <c r="E17" s="4"/>
      <c r="F17" s="4"/>
      <c r="G17" s="33"/>
      <c r="H17" s="33"/>
    </row>
    <row r="18" spans="1:8">
      <c r="A18" s="64" t="s">
        <v>72</v>
      </c>
      <c r="B18" s="68">
        <v>1.4999999999999999E-2</v>
      </c>
      <c r="C18" s="4"/>
      <c r="D18" s="4"/>
      <c r="E18" s="4"/>
      <c r="F18" s="4"/>
      <c r="G18" s="33"/>
      <c r="H18" s="33"/>
    </row>
    <row r="19" spans="1:8" s="3" customFormat="1">
      <c r="A19" s="64" t="s">
        <v>73</v>
      </c>
      <c r="B19" s="68">
        <f>B17/(B15*(1-B18))</f>
        <v>0.10152284263959391</v>
      </c>
      <c r="C19" s="6"/>
      <c r="D19" s="6"/>
      <c r="E19" s="6"/>
      <c r="F19" s="6"/>
    </row>
    <row r="20" spans="1:8" s="3" customFormat="1">
      <c r="A20" s="64" t="s">
        <v>74</v>
      </c>
      <c r="B20" s="65">
        <f>B15*(1-B18)*B16</f>
        <v>13790000</v>
      </c>
      <c r="C20" s="6"/>
      <c r="D20" s="6"/>
      <c r="E20" s="6"/>
      <c r="F20" s="6"/>
    </row>
    <row r="21" spans="1:8" s="3" customFormat="1">
      <c r="A21" s="6"/>
      <c r="B21" s="34"/>
      <c r="C21" s="6"/>
      <c r="D21" s="6"/>
      <c r="E21" s="6"/>
      <c r="F21" s="6"/>
    </row>
    <row r="22" spans="1:8" s="3" customFormat="1">
      <c r="A22" s="8" t="s">
        <v>75</v>
      </c>
      <c r="B22" s="69">
        <f>B2+B3+B11-B20</f>
        <v>2710000</v>
      </c>
      <c r="C22" s="6"/>
      <c r="D22" s="6"/>
      <c r="E22" s="6"/>
      <c r="F22" s="6"/>
    </row>
    <row r="23" spans="1:8" s="3" customFormat="1">
      <c r="A23" s="8" t="s">
        <v>72</v>
      </c>
      <c r="B23" s="70">
        <v>1.4999999999999999E-2</v>
      </c>
      <c r="C23" s="6"/>
      <c r="D23" s="6"/>
      <c r="E23" s="6"/>
      <c r="F23" s="6"/>
    </row>
    <row r="24" spans="1:8" s="3" customFormat="1">
      <c r="A24" s="8" t="s">
        <v>76</v>
      </c>
      <c r="B24" s="69">
        <f>B22/(1-B23)</f>
        <v>2751269.0355329951</v>
      </c>
      <c r="C24" s="63">
        <f>B24*B23</f>
        <v>41269.035532994923</v>
      </c>
      <c r="D24" s="6"/>
      <c r="E24" s="6"/>
      <c r="F24" s="6"/>
    </row>
    <row r="25" spans="1:8" s="3" customFormat="1">
      <c r="A25" s="8" t="s">
        <v>77</v>
      </c>
      <c r="B25" s="70">
        <v>0.1</v>
      </c>
      <c r="C25" s="63">
        <f>B24*B25</f>
        <v>275126.90355329955</v>
      </c>
    </row>
    <row r="26" spans="1:8" s="3" customFormat="1">
      <c r="A26" s="8" t="s">
        <v>78</v>
      </c>
      <c r="B26" s="70">
        <f>RATE(B6,-C25,B22,-B24)</f>
        <v>0.10399745229764502</v>
      </c>
      <c r="C26" s="34">
        <f>B26*(1-B8)</f>
        <v>6.759834399346927E-2</v>
      </c>
    </row>
    <row r="27" spans="1:8" s="3" customFormat="1">
      <c r="A27" s="6"/>
      <c r="B27" s="34"/>
      <c r="C27" s="34"/>
    </row>
    <row r="28" spans="1:8" s="3" customFormat="1">
      <c r="A28" s="19" t="s">
        <v>79</v>
      </c>
      <c r="B28" s="71">
        <f>B20/(B2+B3+B11)</f>
        <v>0.83575757575757581</v>
      </c>
      <c r="C28" s="6"/>
    </row>
    <row r="29" spans="1:8" s="3" customFormat="1">
      <c r="A29" s="19" t="s">
        <v>80</v>
      </c>
      <c r="B29" s="71">
        <f>1-B28</f>
        <v>0.16424242424242419</v>
      </c>
      <c r="C29" s="6"/>
    </row>
    <row r="30" spans="1:8" s="3" customFormat="1">
      <c r="A30" s="19" t="s">
        <v>21</v>
      </c>
      <c r="B30" s="71">
        <f>B28*B19+B29*B26*(1-B8)</f>
        <v>9.5951000740745557E-2</v>
      </c>
      <c r="C30" s="6"/>
    </row>
    <row r="31" spans="1:8" s="3" customFormat="1">
      <c r="A31" s="110" t="s">
        <v>10</v>
      </c>
      <c r="B31" s="110"/>
      <c r="C31" s="110"/>
      <c r="D31" s="110"/>
      <c r="E31" s="110"/>
      <c r="F31" s="110"/>
      <c r="G31" s="110"/>
    </row>
    <row r="32" spans="1:8">
      <c r="A32" s="2" t="s">
        <v>2</v>
      </c>
      <c r="B32" s="109">
        <f>B10</f>
        <v>0</v>
      </c>
      <c r="C32" s="109">
        <f t="shared" ref="C32:G32" si="1">C10</f>
        <v>1</v>
      </c>
      <c r="D32" s="109">
        <f t="shared" si="1"/>
        <v>2</v>
      </c>
      <c r="E32" s="109">
        <f t="shared" si="1"/>
        <v>3</v>
      </c>
      <c r="F32" s="109">
        <f t="shared" si="1"/>
        <v>4</v>
      </c>
      <c r="G32" s="109">
        <f t="shared" si="1"/>
        <v>5</v>
      </c>
    </row>
    <row r="33" spans="1:7">
      <c r="A33" s="35" t="s">
        <v>46</v>
      </c>
      <c r="B33" s="35"/>
      <c r="C33" s="32">
        <v>12000000</v>
      </c>
      <c r="D33" s="32">
        <f>C33</f>
        <v>12000000</v>
      </c>
      <c r="E33" s="32">
        <f>D33</f>
        <v>12000000</v>
      </c>
      <c r="F33" s="32">
        <f>E33</f>
        <v>12000000</v>
      </c>
      <c r="G33" s="32">
        <f>F33</f>
        <v>12000000</v>
      </c>
    </row>
    <row r="34" spans="1:7">
      <c r="A34" s="35" t="s">
        <v>67</v>
      </c>
      <c r="B34" s="35"/>
      <c r="C34" s="32">
        <v>-6400000</v>
      </c>
      <c r="D34" s="32">
        <f>C34</f>
        <v>-6400000</v>
      </c>
      <c r="E34" s="32">
        <f t="shared" ref="E34:G34" si="2">D34</f>
        <v>-6400000</v>
      </c>
      <c r="F34" s="32">
        <f t="shared" si="2"/>
        <v>-6400000</v>
      </c>
      <c r="G34" s="32">
        <f t="shared" si="2"/>
        <v>-6400000</v>
      </c>
    </row>
    <row r="35" spans="1:7">
      <c r="A35" s="35" t="s">
        <v>83</v>
      </c>
      <c r="B35" s="35"/>
      <c r="C35" s="32"/>
      <c r="D35" s="32"/>
      <c r="E35" s="32"/>
      <c r="F35" s="32"/>
      <c r="G35" s="32">
        <f>B5-B4</f>
        <v>1000000</v>
      </c>
    </row>
    <row r="36" spans="1:7">
      <c r="A36" s="6" t="s">
        <v>1</v>
      </c>
      <c r="C36" s="36">
        <f>-$B$7</f>
        <v>-3300000</v>
      </c>
      <c r="D36" s="36">
        <f>-$B$7</f>
        <v>-3300000</v>
      </c>
      <c r="E36" s="36">
        <f>-$B$7</f>
        <v>-3300000</v>
      </c>
      <c r="F36" s="36">
        <f>-$B$7</f>
        <v>-3300000</v>
      </c>
      <c r="G36" s="36">
        <f>-$B$7</f>
        <v>-3300000</v>
      </c>
    </row>
    <row r="37" spans="1:7">
      <c r="A37" s="37" t="s">
        <v>53</v>
      </c>
      <c r="B37" s="37"/>
      <c r="C37" s="38">
        <f>SUM(C33:C36)</f>
        <v>2300000</v>
      </c>
      <c r="D37" s="38">
        <f t="shared" ref="D37:G37" si="3">SUM(D33:D36)</f>
        <v>2300000</v>
      </c>
      <c r="E37" s="38">
        <f t="shared" si="3"/>
        <v>2300000</v>
      </c>
      <c r="F37" s="38">
        <f t="shared" si="3"/>
        <v>2300000</v>
      </c>
      <c r="G37" s="38">
        <f t="shared" si="3"/>
        <v>3300000</v>
      </c>
    </row>
    <row r="38" spans="1:7">
      <c r="A38" s="6" t="s">
        <v>81</v>
      </c>
      <c r="C38" s="36">
        <f>-$B$8*C37</f>
        <v>-805000</v>
      </c>
      <c r="D38" s="36">
        <f t="shared" ref="D38:G38" si="4">-$B$8*D37</f>
        <v>-805000</v>
      </c>
      <c r="E38" s="36">
        <f t="shared" si="4"/>
        <v>-805000</v>
      </c>
      <c r="F38" s="36">
        <f t="shared" si="4"/>
        <v>-805000</v>
      </c>
      <c r="G38" s="36">
        <f t="shared" si="4"/>
        <v>-1155000</v>
      </c>
    </row>
    <row r="39" spans="1:7">
      <c r="A39" s="24" t="s">
        <v>63</v>
      </c>
      <c r="C39" s="39">
        <f>SUM(C37:C38)</f>
        <v>1495000</v>
      </c>
      <c r="D39" s="39">
        <f t="shared" ref="D39:G39" si="5">SUM(D37:D38)</f>
        <v>1495000</v>
      </c>
      <c r="E39" s="39">
        <f t="shared" si="5"/>
        <v>1495000</v>
      </c>
      <c r="F39" s="39">
        <f t="shared" si="5"/>
        <v>1495000</v>
      </c>
      <c r="G39" s="39">
        <f t="shared" si="5"/>
        <v>2145000</v>
      </c>
    </row>
    <row r="40" spans="1:7">
      <c r="A40" s="110" t="s">
        <v>10</v>
      </c>
      <c r="B40" s="110"/>
      <c r="C40" s="110"/>
      <c r="D40" s="110"/>
      <c r="E40" s="110"/>
      <c r="F40" s="110"/>
      <c r="G40" s="110"/>
    </row>
    <row r="41" spans="1:7">
      <c r="A41" s="24" t="s">
        <v>4</v>
      </c>
      <c r="B41" s="109">
        <f>B10</f>
        <v>0</v>
      </c>
      <c r="C41" s="109">
        <f t="shared" ref="C41:G41" si="6">C10</f>
        <v>1</v>
      </c>
      <c r="D41" s="109">
        <f t="shared" si="6"/>
        <v>2</v>
      </c>
      <c r="E41" s="109">
        <f t="shared" si="6"/>
        <v>3</v>
      </c>
      <c r="F41" s="109">
        <f t="shared" si="6"/>
        <v>4</v>
      </c>
      <c r="G41" s="109">
        <f t="shared" si="6"/>
        <v>5</v>
      </c>
    </row>
    <row r="42" spans="1:7">
      <c r="A42" s="6" t="str">
        <f>A2</f>
        <v>INITIAL INVESTMENT IN OLD SHIP</v>
      </c>
      <c r="B42" s="32">
        <f>-B2</f>
        <v>-13000000</v>
      </c>
      <c r="C42" s="13"/>
      <c r="E42" s="32"/>
      <c r="F42" s="32"/>
    </row>
    <row r="43" spans="1:7">
      <c r="A43" s="6" t="s">
        <v>85</v>
      </c>
      <c r="B43" s="32">
        <f>-B3</f>
        <v>-3500000</v>
      </c>
      <c r="C43" s="13"/>
      <c r="E43" s="32"/>
      <c r="F43" s="32"/>
    </row>
    <row r="44" spans="1:7">
      <c r="A44" s="6" t="s">
        <v>82</v>
      </c>
      <c r="B44" s="32"/>
      <c r="C44" s="13"/>
      <c r="D44" s="32"/>
      <c r="E44" s="32"/>
      <c r="F44" s="32"/>
      <c r="G44" s="32">
        <f>B5</f>
        <v>1000000</v>
      </c>
    </row>
    <row r="45" spans="1:7">
      <c r="A45" s="6" t="s">
        <v>19</v>
      </c>
      <c r="B45" s="32">
        <f>-B11</f>
        <v>0</v>
      </c>
      <c r="C45" s="32">
        <f>-C11</f>
        <v>-1000000</v>
      </c>
      <c r="D45" s="32">
        <f>-D11</f>
        <v>-120000</v>
      </c>
      <c r="E45" s="32">
        <f t="shared" ref="E45:G45" si="7">-E11</f>
        <v>-120000</v>
      </c>
      <c r="F45" s="32">
        <f t="shared" si="7"/>
        <v>-120000</v>
      </c>
      <c r="G45" s="32">
        <f t="shared" si="7"/>
        <v>1360000</v>
      </c>
    </row>
    <row r="46" spans="1:7">
      <c r="A46" s="6" t="s">
        <v>3</v>
      </c>
      <c r="B46" s="40"/>
      <c r="C46" s="36">
        <f>C39-C36-C35</f>
        <v>4795000</v>
      </c>
      <c r="D46" s="36">
        <f t="shared" ref="D46:G46" si="8">D39-D36-D35</f>
        <v>4795000</v>
      </c>
      <c r="E46" s="36">
        <f t="shared" si="8"/>
        <v>4795000</v>
      </c>
      <c r="F46" s="36">
        <f t="shared" si="8"/>
        <v>4795000</v>
      </c>
      <c r="G46" s="36">
        <f t="shared" si="8"/>
        <v>4445000</v>
      </c>
    </row>
    <row r="47" spans="1:7">
      <c r="A47" s="37" t="s">
        <v>5</v>
      </c>
      <c r="B47" s="38">
        <f>SUM(B42:B46)</f>
        <v>-16500000</v>
      </c>
      <c r="C47" s="38">
        <f t="shared" ref="C47:G47" si="9">SUM(C42:C46)</f>
        <v>3795000</v>
      </c>
      <c r="D47" s="38">
        <f t="shared" si="9"/>
        <v>4675000</v>
      </c>
      <c r="E47" s="38">
        <f t="shared" si="9"/>
        <v>4675000</v>
      </c>
      <c r="F47" s="38">
        <f t="shared" si="9"/>
        <v>4675000</v>
      </c>
      <c r="G47" s="38">
        <f t="shared" si="9"/>
        <v>6805000</v>
      </c>
    </row>
    <row r="48" spans="1:7">
      <c r="A48" s="6" t="s">
        <v>9</v>
      </c>
      <c r="B48" s="32">
        <f>B47/((1+$B$30)^B41)</f>
        <v>-16500000</v>
      </c>
      <c r="C48" s="32">
        <f t="shared" ref="C48:G48" si="10">C47/((1+$B$30)^C41)</f>
        <v>3462746.0510871252</v>
      </c>
      <c r="D48" s="32">
        <f t="shared" si="10"/>
        <v>3892237.5674214964</v>
      </c>
      <c r="E48" s="32">
        <f t="shared" si="10"/>
        <v>3551470.4259503935</v>
      </c>
      <c r="F48" s="32">
        <f t="shared" si="10"/>
        <v>3240537.6002667821</v>
      </c>
      <c r="G48" s="32">
        <f t="shared" si="10"/>
        <v>4304001.7748774998</v>
      </c>
    </row>
    <row r="49" spans="1:7">
      <c r="A49" s="22" t="s">
        <v>6</v>
      </c>
      <c r="B49" s="41">
        <f>SUM(B48:G48)</f>
        <v>1950993.419603297</v>
      </c>
      <c r="C49" s="42"/>
      <c r="D49" s="42"/>
      <c r="E49" s="42"/>
      <c r="F49" s="42"/>
    </row>
    <row r="50" spans="1:7">
      <c r="A50" s="22" t="s">
        <v>7</v>
      </c>
      <c r="B50" s="41">
        <f>SUM(C48:G48)</f>
        <v>18450993.419603296</v>
      </c>
      <c r="C50" s="42"/>
      <c r="D50" s="42"/>
      <c r="E50" s="42"/>
      <c r="F50" s="42"/>
    </row>
    <row r="51" spans="1:7">
      <c r="A51" s="22" t="s">
        <v>8</v>
      </c>
      <c r="B51" s="23">
        <f>IRR(B47:G47)</f>
        <v>0.13730095298808637</v>
      </c>
    </row>
    <row r="52" spans="1:7">
      <c r="A52" s="22" t="s">
        <v>20</v>
      </c>
      <c r="B52" s="43">
        <f>SUM(C52:G52)</f>
        <v>3.7176470588235295</v>
      </c>
      <c r="C52" s="44" t="str">
        <f>IF(SUM($B$47:C47)&gt;0,B41+(1-SUM($B$47:C47)/C47),"")</f>
        <v/>
      </c>
      <c r="D52" s="44" t="str">
        <f>IF(SUM($C$52:C52)=0,IF(SUM($B$47:D47)&gt;0,C41+(1-SUM($B$47:D47)/D47),""),"")</f>
        <v/>
      </c>
      <c r="E52" s="44" t="str">
        <f>IF(SUM($C$52:D52)=0,IF(SUM($B$47:E47)&gt;0,D41+(1-SUM($B$47:E47)/E47),""),"")</f>
        <v/>
      </c>
      <c r="F52" s="44">
        <f>IF(SUM($C$52:E52)=0,IF(SUM($B$47:F47)&gt;0,E41+(1-SUM($B$47:F47)/F47),""),"")</f>
        <v>3.7176470588235295</v>
      </c>
      <c r="G52" s="44" t="str">
        <f>IF(SUM($C$52:F52)=0,IF(SUM($B$47:G47)&gt;0,F41+(1-SUM($B$47:G47)/G47),""),"")</f>
        <v/>
      </c>
    </row>
    <row r="53" spans="1:7">
      <c r="A53" s="22" t="s">
        <v>16</v>
      </c>
      <c r="B53" s="43">
        <f>B50/(-B47)</f>
        <v>1.1182420254305028</v>
      </c>
    </row>
  </sheetData>
  <mergeCells count="3">
    <mergeCell ref="A9:G9"/>
    <mergeCell ref="A31:G31"/>
    <mergeCell ref="A40:G4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1"/>
  <sheetViews>
    <sheetView showGridLines="0" topLeftCell="A28" workbookViewId="0">
      <selection activeCell="B25" sqref="B25"/>
    </sheetView>
  </sheetViews>
  <sheetFormatPr defaultColWidth="9.109375" defaultRowHeight="15.6"/>
  <cols>
    <col min="1" max="1" width="63" style="6" bestFit="1" customWidth="1"/>
    <col min="2" max="2" width="14.5546875" style="6" customWidth="1"/>
    <col min="3" max="3" width="14.5546875" style="6" bestFit="1" customWidth="1"/>
    <col min="4" max="4" width="16.44140625" style="6" bestFit="1" customWidth="1"/>
    <col min="5" max="5" width="14.6640625" style="6" bestFit="1" customWidth="1"/>
    <col min="6" max="7" width="15.5546875" style="6" bestFit="1" customWidth="1"/>
    <col min="8" max="28" width="14.88671875" style="6" customWidth="1"/>
    <col min="29" max="30" width="11.33203125" style="6" bestFit="1" customWidth="1"/>
    <col min="31" max="32" width="12.33203125" style="6" bestFit="1" customWidth="1"/>
    <col min="33" max="33" width="13.88671875" style="6" bestFit="1" customWidth="1"/>
    <col min="34" max="34" width="12" style="6" bestFit="1" customWidth="1"/>
    <col min="35" max="35" width="10.44140625" style="6" bestFit="1" customWidth="1"/>
    <col min="36" max="38" width="11.33203125" style="6" bestFit="1" customWidth="1"/>
    <col min="39" max="39" width="13.88671875" style="6" bestFit="1" customWidth="1"/>
    <col min="40" max="44" width="12" style="6" bestFit="1" customWidth="1"/>
    <col min="45" max="45" width="13.88671875" style="6" bestFit="1" customWidth="1"/>
    <col min="46" max="50" width="12.88671875" style="6" bestFit="1" customWidth="1"/>
    <col min="51" max="51" width="13.88671875" style="6" bestFit="1" customWidth="1"/>
    <col min="52" max="56" width="12.88671875" style="6" bestFit="1" customWidth="1"/>
    <col min="57" max="57" width="13.88671875" style="6" bestFit="1" customWidth="1"/>
    <col min="58" max="62" width="12.33203125" style="6" bestFit="1" customWidth="1"/>
    <col min="63" max="63" width="13.88671875" style="6" bestFit="1" customWidth="1"/>
    <col min="64" max="65" width="11.33203125" style="6" bestFit="1" customWidth="1"/>
    <col min="66" max="68" width="12.33203125" style="6" bestFit="1" customWidth="1"/>
    <col min="69" max="69" width="13.88671875" style="6" bestFit="1" customWidth="1"/>
    <col min="70" max="70" width="10.44140625" style="6" bestFit="1" customWidth="1"/>
    <col min="71" max="74" width="11.33203125" style="6" bestFit="1" customWidth="1"/>
    <col min="75" max="75" width="13.88671875" style="6" bestFit="1" customWidth="1"/>
    <col min="76" max="80" width="12" style="6" bestFit="1" customWidth="1"/>
    <col min="81" max="81" width="13.88671875" style="6" bestFit="1" customWidth="1"/>
    <col min="82" max="86" width="12.88671875" style="6" bestFit="1" customWidth="1"/>
    <col min="87" max="87" width="13.88671875" style="6" bestFit="1" customWidth="1"/>
    <col min="88" max="92" width="12.33203125" style="6" bestFit="1" customWidth="1"/>
    <col min="93" max="93" width="13.88671875" style="6" bestFit="1" customWidth="1"/>
    <col min="94" max="98" width="12.33203125" style="6" bestFit="1" customWidth="1"/>
    <col min="99" max="99" width="13.88671875" style="6" bestFit="1" customWidth="1"/>
    <col min="100" max="100" width="11.33203125" style="6" bestFit="1" customWidth="1"/>
    <col min="101" max="104" width="12.33203125" style="6" bestFit="1" customWidth="1"/>
    <col min="105" max="105" width="13.88671875" style="6" bestFit="1" customWidth="1"/>
    <col min="106" max="106" width="10" style="6" bestFit="1" customWidth="1"/>
    <col min="107" max="110" width="11.33203125" style="6" bestFit="1" customWidth="1"/>
    <col min="111" max="111" width="13.88671875" style="6" bestFit="1" customWidth="1"/>
    <col min="112" max="115" width="12" style="6" bestFit="1" customWidth="1"/>
    <col min="116" max="116" width="10.44140625" style="6" bestFit="1" customWidth="1"/>
    <col min="117" max="117" width="13.88671875" style="6" bestFit="1" customWidth="1"/>
    <col min="118" max="122" width="12.33203125" style="6" bestFit="1" customWidth="1"/>
    <col min="123" max="123" width="13.88671875" style="6" bestFit="1" customWidth="1"/>
    <col min="124" max="128" width="12.33203125" style="6" bestFit="1" customWidth="1"/>
    <col min="129" max="129" width="13.88671875" style="6" bestFit="1" customWidth="1"/>
    <col min="130" max="134" width="12.33203125" style="6" bestFit="1" customWidth="1"/>
    <col min="135" max="135" width="13.88671875" style="6" bestFit="1" customWidth="1"/>
    <col min="136" max="136" width="11.33203125" style="6" bestFit="1" customWidth="1"/>
    <col min="137" max="140" width="12.33203125" style="6" bestFit="1" customWidth="1"/>
    <col min="141" max="141" width="13.88671875" style="6" bestFit="1" customWidth="1"/>
    <col min="142" max="145" width="11.33203125" style="6" bestFit="1" customWidth="1"/>
    <col min="146" max="146" width="12.33203125" style="6" bestFit="1" customWidth="1"/>
    <col min="147" max="147" width="13.88671875" style="6" bestFit="1" customWidth="1"/>
    <col min="148" max="148" width="12.88671875" style="6" bestFit="1" customWidth="1"/>
    <col min="149" max="16384" width="9.109375" style="6"/>
  </cols>
  <sheetData>
    <row r="1" spans="1:10">
      <c r="A1" s="24" t="s">
        <v>86</v>
      </c>
      <c r="B1" s="53"/>
    </row>
    <row r="2" spans="1:10" ht="15.75" customHeight="1">
      <c r="A2" s="6" t="s">
        <v>87</v>
      </c>
      <c r="B2" s="32">
        <v>22000000</v>
      </c>
      <c r="G2" s="1"/>
      <c r="H2" s="1"/>
    </row>
    <row r="3" spans="1:10" ht="15.75" customHeight="1">
      <c r="A3" s="6" t="s">
        <v>36</v>
      </c>
      <c r="B3" s="32">
        <v>0</v>
      </c>
      <c r="G3" s="1"/>
      <c r="H3" s="1"/>
    </row>
    <row r="4" spans="1:10" ht="15.75" customHeight="1">
      <c r="A4" s="6" t="s">
        <v>88</v>
      </c>
      <c r="B4" s="32">
        <v>8000000</v>
      </c>
      <c r="G4" s="33"/>
      <c r="H4" s="33"/>
    </row>
    <row r="5" spans="1:10" ht="15.75" customHeight="1">
      <c r="A5" s="6" t="s">
        <v>15</v>
      </c>
      <c r="B5" s="6">
        <v>5</v>
      </c>
      <c r="G5" s="33"/>
      <c r="H5" s="33"/>
    </row>
    <row r="6" spans="1:10" ht="15.75" customHeight="1">
      <c r="A6" s="6" t="s">
        <v>43</v>
      </c>
      <c r="B6" s="32">
        <f>(B2-B3)/B5</f>
        <v>4400000</v>
      </c>
      <c r="G6" s="33"/>
      <c r="H6" s="33"/>
    </row>
    <row r="7" spans="1:10" ht="15.75" customHeight="1">
      <c r="A7" s="6" t="s">
        <v>0</v>
      </c>
      <c r="B7" s="34">
        <v>0.35</v>
      </c>
      <c r="G7" s="33"/>
      <c r="H7" s="33"/>
    </row>
    <row r="8" spans="1:10" ht="15.75" customHeight="1">
      <c r="A8" s="110" t="s">
        <v>10</v>
      </c>
      <c r="B8" s="110"/>
      <c r="C8" s="110"/>
      <c r="D8" s="110"/>
      <c r="E8" s="110"/>
      <c r="F8" s="110"/>
      <c r="G8" s="110"/>
      <c r="H8" s="33"/>
    </row>
    <row r="9" spans="1:10" ht="15.75" customHeight="1">
      <c r="B9" s="5">
        <v>0</v>
      </c>
      <c r="C9" s="5">
        <f>B9+1</f>
        <v>1</v>
      </c>
      <c r="D9" s="5">
        <f t="shared" ref="D9:G9" si="0">C9+1</f>
        <v>2</v>
      </c>
      <c r="E9" s="5">
        <f t="shared" si="0"/>
        <v>3</v>
      </c>
      <c r="F9" s="5">
        <f t="shared" si="0"/>
        <v>4</v>
      </c>
      <c r="G9" s="5">
        <f t="shared" si="0"/>
        <v>5</v>
      </c>
      <c r="H9" s="33"/>
    </row>
    <row r="10" spans="1:10" ht="15.75" customHeight="1">
      <c r="A10" s="6" t="s">
        <v>37</v>
      </c>
      <c r="B10" s="32">
        <v>2000000</v>
      </c>
      <c r="C10" s="32">
        <v>200000</v>
      </c>
      <c r="D10" s="32">
        <f>C10</f>
        <v>200000</v>
      </c>
      <c r="E10" s="32">
        <f>D10</f>
        <v>200000</v>
      </c>
      <c r="F10" s="32">
        <f>E10</f>
        <v>200000</v>
      </c>
      <c r="G10" s="33">
        <f>-SUM(B10:F10)</f>
        <v>-2800000</v>
      </c>
      <c r="H10" s="33"/>
    </row>
    <row r="11" spans="1:10" hidden="1">
      <c r="A11" s="6" t="s">
        <v>41</v>
      </c>
      <c r="B11" s="32">
        <v>7000</v>
      </c>
      <c r="C11" s="19" t="s">
        <v>42</v>
      </c>
      <c r="D11" s="19"/>
      <c r="E11" s="19"/>
      <c r="F11" s="19"/>
      <c r="G11" s="48"/>
      <c r="H11" s="48"/>
      <c r="I11" s="19"/>
      <c r="J11" s="19"/>
    </row>
    <row r="12" spans="1:10" ht="15.75" customHeight="1">
      <c r="G12" s="33"/>
      <c r="H12" s="33"/>
    </row>
    <row r="13" spans="1:10" ht="15.75" customHeight="1">
      <c r="A13" s="64" t="s">
        <v>68</v>
      </c>
      <c r="B13" s="65">
        <v>14000000</v>
      </c>
      <c r="C13" s="4"/>
      <c r="D13" s="4"/>
      <c r="E13" s="4"/>
      <c r="F13" s="4"/>
      <c r="G13" s="33"/>
      <c r="H13" s="33"/>
    </row>
    <row r="14" spans="1:10" ht="15.75" customHeight="1">
      <c r="A14" s="64" t="s">
        <v>69</v>
      </c>
      <c r="B14" s="65">
        <v>5</v>
      </c>
      <c r="C14" s="4"/>
      <c r="D14" s="4"/>
      <c r="E14" s="4"/>
      <c r="F14" s="4"/>
      <c r="G14" s="33"/>
      <c r="H14" s="33"/>
    </row>
    <row r="15" spans="1:10" ht="15.75" customHeight="1">
      <c r="A15" s="64" t="s">
        <v>70</v>
      </c>
      <c r="B15" s="66">
        <f>B13/B14</f>
        <v>2800000</v>
      </c>
      <c r="C15" s="4"/>
      <c r="D15" s="4"/>
      <c r="E15" s="4"/>
      <c r="F15" s="4"/>
      <c r="G15" s="33"/>
      <c r="H15" s="33"/>
    </row>
    <row r="16" spans="1:10" ht="15.75" customHeight="1">
      <c r="A16" s="64" t="s">
        <v>71</v>
      </c>
      <c r="B16" s="67">
        <v>0.5</v>
      </c>
      <c r="C16" s="4"/>
      <c r="D16" s="4"/>
      <c r="E16" s="4"/>
      <c r="F16" s="4"/>
      <c r="G16" s="33"/>
      <c r="H16" s="33"/>
    </row>
    <row r="17" spans="1:8" ht="15.75" customHeight="1">
      <c r="A17" s="64" t="s">
        <v>72</v>
      </c>
      <c r="B17" s="68">
        <v>1.4999999999999999E-2</v>
      </c>
      <c r="C17" s="4"/>
      <c r="D17" s="4"/>
      <c r="E17" s="4"/>
      <c r="F17" s="4"/>
      <c r="G17" s="33"/>
      <c r="H17" s="33"/>
    </row>
    <row r="18" spans="1:8" s="3" customFormat="1">
      <c r="A18" s="64" t="s">
        <v>73</v>
      </c>
      <c r="B18" s="68">
        <f>B16/(B14*(1-B17))</f>
        <v>0.10152284263959391</v>
      </c>
      <c r="C18" s="6"/>
      <c r="D18" s="6"/>
      <c r="E18" s="6"/>
      <c r="F18" s="6"/>
    </row>
    <row r="19" spans="1:8" s="3" customFormat="1">
      <c r="A19" s="64" t="s">
        <v>74</v>
      </c>
      <c r="B19" s="65">
        <f>B14*(1-B17)*B15</f>
        <v>13790000</v>
      </c>
      <c r="C19" s="6"/>
      <c r="D19" s="6"/>
      <c r="E19" s="6"/>
      <c r="F19" s="6"/>
    </row>
    <row r="20" spans="1:8" s="3" customFormat="1">
      <c r="A20" s="6"/>
      <c r="B20" s="34"/>
      <c r="C20" s="6"/>
      <c r="D20" s="6"/>
      <c r="E20" s="6"/>
      <c r="F20" s="6"/>
    </row>
    <row r="21" spans="1:8" s="3" customFormat="1">
      <c r="A21" s="8" t="s">
        <v>75</v>
      </c>
      <c r="B21" s="69">
        <f>B2+B10-B19</f>
        <v>10210000</v>
      </c>
      <c r="C21" s="6"/>
      <c r="D21" s="6"/>
      <c r="E21" s="6"/>
      <c r="F21" s="6"/>
    </row>
    <row r="22" spans="1:8" s="3" customFormat="1">
      <c r="A22" s="8" t="s">
        <v>72</v>
      </c>
      <c r="B22" s="70">
        <v>1.4999999999999999E-2</v>
      </c>
      <c r="C22" s="6"/>
      <c r="D22" s="6"/>
      <c r="E22" s="6"/>
      <c r="F22" s="6"/>
    </row>
    <row r="23" spans="1:8" s="3" customFormat="1">
      <c r="A23" s="8" t="s">
        <v>76</v>
      </c>
      <c r="B23" s="69">
        <f>B21/(1-B22)</f>
        <v>10365482.233502539</v>
      </c>
      <c r="C23" s="63">
        <f>B23*B22</f>
        <v>155482.23350253809</v>
      </c>
      <c r="D23" s="6"/>
      <c r="E23" s="6"/>
      <c r="F23" s="6"/>
    </row>
    <row r="24" spans="1:8" s="3" customFormat="1">
      <c r="A24" s="8" t="s">
        <v>77</v>
      </c>
      <c r="B24" s="70">
        <v>0.1</v>
      </c>
      <c r="C24" s="63">
        <f>B23*B24</f>
        <v>1036548.2233502539</v>
      </c>
    </row>
    <row r="25" spans="1:8" s="3" customFormat="1">
      <c r="A25" s="8" t="s">
        <v>78</v>
      </c>
      <c r="B25" s="70">
        <f>RATE(B5,-C24,B21,-B23)</f>
        <v>0.103997452297645</v>
      </c>
      <c r="C25" s="34">
        <f>B25*(1-B7)</f>
        <v>6.7598343993469256E-2</v>
      </c>
    </row>
    <row r="26" spans="1:8" s="3" customFormat="1">
      <c r="A26" s="6"/>
      <c r="B26" s="34"/>
      <c r="C26" s="34"/>
    </row>
    <row r="27" spans="1:8" s="3" customFormat="1">
      <c r="A27" s="19" t="s">
        <v>79</v>
      </c>
      <c r="B27" s="71">
        <f>B19/(B2+B10)</f>
        <v>0.57458333333333333</v>
      </c>
      <c r="C27" s="6"/>
    </row>
    <row r="28" spans="1:8" s="3" customFormat="1">
      <c r="A28" s="19" t="s">
        <v>80</v>
      </c>
      <c r="B28" s="71">
        <f>1-B27</f>
        <v>0.42541666666666667</v>
      </c>
      <c r="C28" s="6"/>
    </row>
    <row r="29" spans="1:8" s="3" customFormat="1">
      <c r="A29" s="19" t="s">
        <v>21</v>
      </c>
      <c r="B29" s="71">
        <f>B27*B18+B28*B25*(1-B7)</f>
        <v>8.7090795507221708E-2</v>
      </c>
      <c r="C29" s="6"/>
    </row>
    <row r="30" spans="1:8" s="3" customFormat="1">
      <c r="A30" s="110" t="s">
        <v>10</v>
      </c>
      <c r="B30" s="110"/>
      <c r="C30" s="110"/>
      <c r="D30" s="110"/>
      <c r="E30" s="110"/>
      <c r="F30" s="110"/>
      <c r="G30" s="110"/>
    </row>
    <row r="31" spans="1:8">
      <c r="A31" s="2" t="s">
        <v>2</v>
      </c>
      <c r="B31" s="5">
        <f>B9</f>
        <v>0</v>
      </c>
      <c r="C31" s="5">
        <f t="shared" ref="C31:G31" si="1">C9</f>
        <v>1</v>
      </c>
      <c r="D31" s="5">
        <f t="shared" si="1"/>
        <v>2</v>
      </c>
      <c r="E31" s="5">
        <f t="shared" si="1"/>
        <v>3</v>
      </c>
      <c r="F31" s="5">
        <f t="shared" si="1"/>
        <v>4</v>
      </c>
      <c r="G31" s="5">
        <f t="shared" si="1"/>
        <v>5</v>
      </c>
    </row>
    <row r="32" spans="1:8">
      <c r="A32" s="35" t="s">
        <v>46</v>
      </c>
      <c r="B32" s="35"/>
      <c r="C32" s="32">
        <v>15000000</v>
      </c>
      <c r="D32" s="32">
        <f>C32</f>
        <v>15000000</v>
      </c>
      <c r="E32" s="32">
        <f>D32</f>
        <v>15000000</v>
      </c>
      <c r="F32" s="32">
        <f>E32</f>
        <v>15000000</v>
      </c>
      <c r="G32" s="32">
        <f>F32</f>
        <v>15000000</v>
      </c>
    </row>
    <row r="33" spans="1:7">
      <c r="A33" s="35" t="s">
        <v>67</v>
      </c>
      <c r="B33" s="35"/>
      <c r="C33" s="32">
        <v>-8900000</v>
      </c>
      <c r="D33" s="32">
        <f>C33</f>
        <v>-8900000</v>
      </c>
      <c r="E33" s="32">
        <f t="shared" ref="E33:G33" si="2">D33</f>
        <v>-8900000</v>
      </c>
      <c r="F33" s="32">
        <f t="shared" si="2"/>
        <v>-8900000</v>
      </c>
      <c r="G33" s="32">
        <f t="shared" si="2"/>
        <v>-8900000</v>
      </c>
    </row>
    <row r="34" spans="1:7">
      <c r="A34" s="35" t="s">
        <v>83</v>
      </c>
      <c r="B34" s="35"/>
      <c r="C34" s="32"/>
      <c r="D34" s="32"/>
      <c r="E34" s="32"/>
      <c r="F34" s="32"/>
      <c r="G34" s="32">
        <f>B4-B3</f>
        <v>8000000</v>
      </c>
    </row>
    <row r="35" spans="1:7">
      <c r="A35" s="6" t="s">
        <v>1</v>
      </c>
      <c r="C35" s="36">
        <f>-$B$6</f>
        <v>-4400000</v>
      </c>
      <c r="D35" s="36">
        <f>-$B$6</f>
        <v>-4400000</v>
      </c>
      <c r="E35" s="36">
        <f>-$B$6</f>
        <v>-4400000</v>
      </c>
      <c r="F35" s="36">
        <f>-$B$6</f>
        <v>-4400000</v>
      </c>
      <c r="G35" s="36">
        <f>-$B$6</f>
        <v>-4400000</v>
      </c>
    </row>
    <row r="36" spans="1:7">
      <c r="A36" s="37" t="s">
        <v>53</v>
      </c>
      <c r="B36" s="37"/>
      <c r="C36" s="38">
        <f>SUM(C32:C35)</f>
        <v>1700000</v>
      </c>
      <c r="D36" s="38">
        <f t="shared" ref="D36:G36" si="3">SUM(D32:D35)</f>
        <v>1700000</v>
      </c>
      <c r="E36" s="38">
        <f t="shared" si="3"/>
        <v>1700000</v>
      </c>
      <c r="F36" s="38">
        <f t="shared" si="3"/>
        <v>1700000</v>
      </c>
      <c r="G36" s="38">
        <f t="shared" si="3"/>
        <v>9700000</v>
      </c>
    </row>
    <row r="37" spans="1:7">
      <c r="A37" s="6" t="s">
        <v>81</v>
      </c>
      <c r="C37" s="36">
        <f>-$B$7*C36</f>
        <v>-595000</v>
      </c>
      <c r="D37" s="36">
        <f t="shared" ref="D37:G37" si="4">-$B$7*D36</f>
        <v>-595000</v>
      </c>
      <c r="E37" s="36">
        <f t="shared" si="4"/>
        <v>-595000</v>
      </c>
      <c r="F37" s="36">
        <f t="shared" si="4"/>
        <v>-595000</v>
      </c>
      <c r="G37" s="36">
        <f t="shared" si="4"/>
        <v>-3395000</v>
      </c>
    </row>
    <row r="38" spans="1:7">
      <c r="A38" s="24" t="s">
        <v>63</v>
      </c>
      <c r="C38" s="39">
        <f>SUM(C36:C37)</f>
        <v>1105000</v>
      </c>
      <c r="D38" s="39">
        <f t="shared" ref="D38:G38" si="5">SUM(D36:D37)</f>
        <v>1105000</v>
      </c>
      <c r="E38" s="39">
        <f t="shared" si="5"/>
        <v>1105000</v>
      </c>
      <c r="F38" s="39">
        <f t="shared" si="5"/>
        <v>1105000</v>
      </c>
      <c r="G38" s="39">
        <f t="shared" si="5"/>
        <v>6305000</v>
      </c>
    </row>
    <row r="39" spans="1:7">
      <c r="A39" s="110" t="s">
        <v>10</v>
      </c>
      <c r="B39" s="110"/>
      <c r="C39" s="110"/>
      <c r="D39" s="110"/>
      <c r="E39" s="110"/>
      <c r="F39" s="110"/>
      <c r="G39" s="110"/>
    </row>
    <row r="40" spans="1:7">
      <c r="A40" s="24" t="s">
        <v>4</v>
      </c>
      <c r="B40" s="5">
        <f>B9</f>
        <v>0</v>
      </c>
      <c r="C40" s="5">
        <f t="shared" ref="C40:G40" si="6">C9</f>
        <v>1</v>
      </c>
      <c r="D40" s="5">
        <f t="shared" si="6"/>
        <v>2</v>
      </c>
      <c r="E40" s="5">
        <f t="shared" si="6"/>
        <v>3</v>
      </c>
      <c r="F40" s="5">
        <f t="shared" si="6"/>
        <v>4</v>
      </c>
      <c r="G40" s="5">
        <f t="shared" si="6"/>
        <v>5</v>
      </c>
    </row>
    <row r="41" spans="1:7">
      <c r="A41" s="6" t="str">
        <f>A2</f>
        <v>INITIAL INVESTMENT IN NEW SHIP</v>
      </c>
      <c r="B41" s="32">
        <f>-B2</f>
        <v>-22000000</v>
      </c>
      <c r="C41" s="13"/>
      <c r="E41" s="32"/>
      <c r="F41" s="32"/>
    </row>
    <row r="42" spans="1:7">
      <c r="A42" s="6" t="s">
        <v>82</v>
      </c>
      <c r="B42" s="32"/>
      <c r="C42" s="13"/>
      <c r="D42" s="32"/>
      <c r="E42" s="32"/>
      <c r="F42" s="32"/>
      <c r="G42" s="32">
        <f>B4</f>
        <v>8000000</v>
      </c>
    </row>
    <row r="43" spans="1:7">
      <c r="A43" s="6" t="s">
        <v>19</v>
      </c>
      <c r="B43" s="32">
        <f>-B10</f>
        <v>-2000000</v>
      </c>
      <c r="C43" s="32">
        <f>-C10</f>
        <v>-200000</v>
      </c>
      <c r="D43" s="32">
        <f>-D10</f>
        <v>-200000</v>
      </c>
      <c r="E43" s="32">
        <f t="shared" ref="E43:G43" si="7">-E10</f>
        <v>-200000</v>
      </c>
      <c r="F43" s="32">
        <f t="shared" si="7"/>
        <v>-200000</v>
      </c>
      <c r="G43" s="32">
        <f t="shared" si="7"/>
        <v>2800000</v>
      </c>
    </row>
    <row r="44" spans="1:7">
      <c r="A44" s="6" t="s">
        <v>3</v>
      </c>
      <c r="B44" s="40"/>
      <c r="C44" s="36">
        <f>C38-C35-C34</f>
        <v>5505000</v>
      </c>
      <c r="D44" s="36">
        <f t="shared" ref="D44:G44" si="8">D38-D35-D34</f>
        <v>5505000</v>
      </c>
      <c r="E44" s="36">
        <f t="shared" si="8"/>
        <v>5505000</v>
      </c>
      <c r="F44" s="36">
        <f t="shared" si="8"/>
        <v>5505000</v>
      </c>
      <c r="G44" s="36">
        <f t="shared" si="8"/>
        <v>2705000</v>
      </c>
    </row>
    <row r="45" spans="1:7">
      <c r="A45" s="37" t="s">
        <v>5</v>
      </c>
      <c r="B45" s="38">
        <f>SUM(B41:B44)</f>
        <v>-24000000</v>
      </c>
      <c r="C45" s="38">
        <f t="shared" ref="C45:G45" si="9">SUM(C41:C44)</f>
        <v>5305000</v>
      </c>
      <c r="D45" s="38">
        <f t="shared" si="9"/>
        <v>5305000</v>
      </c>
      <c r="E45" s="38">
        <f t="shared" si="9"/>
        <v>5305000</v>
      </c>
      <c r="F45" s="38">
        <f t="shared" si="9"/>
        <v>5305000</v>
      </c>
      <c r="G45" s="38">
        <f t="shared" si="9"/>
        <v>13505000</v>
      </c>
    </row>
    <row r="46" spans="1:7">
      <c r="A46" s="6" t="s">
        <v>9</v>
      </c>
      <c r="B46" s="32">
        <f>B45/((1+$B$29)^B40)</f>
        <v>-24000000</v>
      </c>
      <c r="C46" s="32">
        <f t="shared" ref="C46:G46" si="10">C45/((1+$B$29)^C40)</f>
        <v>4879997.1648410093</v>
      </c>
      <c r="D46" s="32">
        <f t="shared" si="10"/>
        <v>4489042.8518107999</v>
      </c>
      <c r="E46" s="32">
        <f t="shared" si="10"/>
        <v>4129409.3100257306</v>
      </c>
      <c r="F46" s="32">
        <f t="shared" si="10"/>
        <v>3798587.3186415904</v>
      </c>
      <c r="G46" s="32">
        <f t="shared" si="10"/>
        <v>8895400.2861898653</v>
      </c>
    </row>
    <row r="47" spans="1:7">
      <c r="A47" s="22" t="s">
        <v>6</v>
      </c>
      <c r="B47" s="41">
        <f>SUM(B46:G46)</f>
        <v>2192436.9315089975</v>
      </c>
      <c r="C47" s="42"/>
      <c r="D47" s="42"/>
      <c r="E47" s="42"/>
      <c r="F47" s="42"/>
    </row>
    <row r="48" spans="1:7">
      <c r="A48" s="22" t="s">
        <v>7</v>
      </c>
      <c r="B48" s="41">
        <f>SUM(C46:G46)</f>
        <v>26192436.931508996</v>
      </c>
      <c r="C48" s="42"/>
      <c r="D48" s="42"/>
      <c r="E48" s="42"/>
      <c r="F48" s="42"/>
    </row>
    <row r="49" spans="1:7">
      <c r="A49" s="22" t="s">
        <v>8</v>
      </c>
      <c r="B49" s="23">
        <f>IRR(B45:G45)</f>
        <v>0.11674006086376831</v>
      </c>
    </row>
    <row r="50" spans="1:7">
      <c r="A50" s="22" t="s">
        <v>20</v>
      </c>
      <c r="B50" s="43">
        <f>SUM(C50:G50)</f>
        <v>4.2058496853017404</v>
      </c>
      <c r="C50" s="44" t="str">
        <f>IF(SUM($B$45:C45)&gt;0,B40+(1-SUM($B$45:C45)/C45),"")</f>
        <v/>
      </c>
      <c r="D50" s="44" t="str">
        <f>IF(SUM($C$50:C50)=0,IF(SUM($B$45:D45)&gt;0,C40+(1-SUM($B$45:D45)/D45),""),"")</f>
        <v/>
      </c>
      <c r="E50" s="44" t="str">
        <f>IF(SUM($C$50:D50)=0,IF(SUM($B$45:E45)&gt;0,D40+(1-SUM($B$45:E45)/E45),""),"")</f>
        <v/>
      </c>
      <c r="F50" s="44" t="str">
        <f>IF(SUM($C$50:E50)=0,IF(SUM($B$45:F45)&gt;0,E40+(1-SUM($B$45:F45)/F45),""),"")</f>
        <v/>
      </c>
      <c r="G50" s="44">
        <f>IF(SUM($C$50:F50)=0,IF(SUM($B$45:G45)&gt;0,F40+(1-SUM($B$45:G45)/G45),""),"")</f>
        <v>4.2058496853017404</v>
      </c>
    </row>
    <row r="51" spans="1:7">
      <c r="A51" s="22" t="s">
        <v>16</v>
      </c>
      <c r="B51" s="43">
        <f>B48/(-B45)</f>
        <v>1.0913515388128747</v>
      </c>
    </row>
  </sheetData>
  <mergeCells count="3">
    <mergeCell ref="A8:G8"/>
    <mergeCell ref="A30:G30"/>
    <mergeCell ref="A39:G3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00"/>
  <sheetViews>
    <sheetView showGridLines="0" workbookViewId="0">
      <selection activeCell="C1" sqref="C1"/>
    </sheetView>
  </sheetViews>
  <sheetFormatPr defaultColWidth="9.109375" defaultRowHeight="15.6"/>
  <cols>
    <col min="1" max="1" width="54.33203125" style="6" bestFit="1" customWidth="1"/>
    <col min="2" max="2" width="12.5546875" style="6" bestFit="1" customWidth="1"/>
    <col min="3" max="3" width="14.5546875" style="6" bestFit="1" customWidth="1"/>
    <col min="4" max="4" width="16.44140625" style="6" bestFit="1" customWidth="1"/>
    <col min="5" max="5" width="14.6640625" style="6" bestFit="1" customWidth="1"/>
    <col min="6" max="7" width="15.5546875" style="6" bestFit="1" customWidth="1"/>
    <col min="8" max="28" width="14.88671875" style="6" customWidth="1"/>
    <col min="29" max="30" width="11.33203125" style="6" bestFit="1" customWidth="1"/>
    <col min="31" max="32" width="12.33203125" style="6" bestFit="1" customWidth="1"/>
    <col min="33" max="33" width="13.88671875" style="6" bestFit="1" customWidth="1"/>
    <col min="34" max="34" width="12" style="6" bestFit="1" customWidth="1"/>
    <col min="35" max="35" width="10.44140625" style="6" bestFit="1" customWidth="1"/>
    <col min="36" max="38" width="11.33203125" style="6" bestFit="1" customWidth="1"/>
    <col min="39" max="39" width="13.88671875" style="6" bestFit="1" customWidth="1"/>
    <col min="40" max="44" width="12" style="6" bestFit="1" customWidth="1"/>
    <col min="45" max="45" width="13.88671875" style="6" bestFit="1" customWidth="1"/>
    <col min="46" max="50" width="12.88671875" style="6" bestFit="1" customWidth="1"/>
    <col min="51" max="51" width="13.88671875" style="6" bestFit="1" customWidth="1"/>
    <col min="52" max="56" width="12.88671875" style="6" bestFit="1" customWidth="1"/>
    <col min="57" max="57" width="13.88671875" style="6" bestFit="1" customWidth="1"/>
    <col min="58" max="62" width="12.33203125" style="6" bestFit="1" customWidth="1"/>
    <col min="63" max="63" width="13.88671875" style="6" bestFit="1" customWidth="1"/>
    <col min="64" max="65" width="11.33203125" style="6" bestFit="1" customWidth="1"/>
    <col min="66" max="68" width="12.33203125" style="6" bestFit="1" customWidth="1"/>
    <col min="69" max="69" width="13.88671875" style="6" bestFit="1" customWidth="1"/>
    <col min="70" max="70" width="10.44140625" style="6" bestFit="1" customWidth="1"/>
    <col min="71" max="74" width="11.33203125" style="6" bestFit="1" customWidth="1"/>
    <col min="75" max="75" width="13.88671875" style="6" bestFit="1" customWidth="1"/>
    <col min="76" max="80" width="12" style="6" bestFit="1" customWidth="1"/>
    <col min="81" max="81" width="13.88671875" style="6" bestFit="1" customWidth="1"/>
    <col min="82" max="86" width="12.88671875" style="6" bestFit="1" customWidth="1"/>
    <col min="87" max="87" width="13.88671875" style="6" bestFit="1" customWidth="1"/>
    <col min="88" max="92" width="12.33203125" style="6" bestFit="1" customWidth="1"/>
    <col min="93" max="93" width="13.88671875" style="6" bestFit="1" customWidth="1"/>
    <col min="94" max="98" width="12.33203125" style="6" bestFit="1" customWidth="1"/>
    <col min="99" max="99" width="13.88671875" style="6" bestFit="1" customWidth="1"/>
    <col min="100" max="100" width="11.33203125" style="6" bestFit="1" customWidth="1"/>
    <col min="101" max="104" width="12.33203125" style="6" bestFit="1" customWidth="1"/>
    <col min="105" max="105" width="13.88671875" style="6" bestFit="1" customWidth="1"/>
    <col min="106" max="106" width="10" style="6" bestFit="1" customWidth="1"/>
    <col min="107" max="110" width="11.33203125" style="6" bestFit="1" customWidth="1"/>
    <col min="111" max="111" width="13.88671875" style="6" bestFit="1" customWidth="1"/>
    <col min="112" max="115" width="12" style="6" bestFit="1" customWidth="1"/>
    <col min="116" max="116" width="10.44140625" style="6" bestFit="1" customWidth="1"/>
    <col min="117" max="117" width="13.88671875" style="6" bestFit="1" customWidth="1"/>
    <col min="118" max="122" width="12.33203125" style="6" bestFit="1" customWidth="1"/>
    <col min="123" max="123" width="13.88671875" style="6" bestFit="1" customWidth="1"/>
    <col min="124" max="128" width="12.33203125" style="6" bestFit="1" customWidth="1"/>
    <col min="129" max="129" width="13.88671875" style="6" bestFit="1" customWidth="1"/>
    <col min="130" max="134" width="12.33203125" style="6" bestFit="1" customWidth="1"/>
    <col min="135" max="135" width="13.88671875" style="6" bestFit="1" customWidth="1"/>
    <col min="136" max="136" width="11.33203125" style="6" bestFit="1" customWidth="1"/>
    <col min="137" max="140" width="12.33203125" style="6" bestFit="1" customWidth="1"/>
    <col min="141" max="141" width="13.88671875" style="6" bestFit="1" customWidth="1"/>
    <col min="142" max="145" width="11.33203125" style="6" bestFit="1" customWidth="1"/>
    <col min="146" max="146" width="12.33203125" style="6" bestFit="1" customWidth="1"/>
    <col min="147" max="147" width="13.88671875" style="6" bestFit="1" customWidth="1"/>
    <col min="148" max="148" width="12.88671875" style="6" bestFit="1" customWidth="1"/>
    <col min="149" max="16384" width="9.109375" style="6"/>
  </cols>
  <sheetData>
    <row r="1" spans="1:10">
      <c r="A1" s="24" t="s">
        <v>48</v>
      </c>
      <c r="B1" s="53">
        <v>0.45</v>
      </c>
    </row>
    <row r="2" spans="1:10" ht="15.75" customHeight="1">
      <c r="A2" s="6" t="s">
        <v>57</v>
      </c>
      <c r="B2" s="32">
        <f>80000+2000</f>
        <v>82000</v>
      </c>
      <c r="G2" s="1"/>
      <c r="H2" s="1"/>
    </row>
    <row r="3" spans="1:10" ht="15.75" customHeight="1">
      <c r="A3" s="6" t="s">
        <v>36</v>
      </c>
      <c r="B3" s="32">
        <v>0</v>
      </c>
      <c r="G3" s="1"/>
      <c r="H3" s="1"/>
    </row>
    <row r="4" spans="1:10" ht="15.75" customHeight="1">
      <c r="A4" s="6" t="s">
        <v>40</v>
      </c>
      <c r="B4" s="32">
        <v>30000</v>
      </c>
      <c r="G4" s="33"/>
      <c r="H4" s="33"/>
    </row>
    <row r="5" spans="1:10" ht="15.75" customHeight="1">
      <c r="A5" s="6" t="s">
        <v>15</v>
      </c>
      <c r="B5" s="6">
        <v>2</v>
      </c>
      <c r="G5" s="33"/>
      <c r="H5" s="33"/>
    </row>
    <row r="6" spans="1:10" ht="15.75" customHeight="1">
      <c r="B6" s="5">
        <v>0</v>
      </c>
      <c r="C6" s="5">
        <v>1</v>
      </c>
      <c r="D6" s="5">
        <v>2</v>
      </c>
      <c r="G6" s="33"/>
      <c r="H6" s="33"/>
    </row>
    <row r="7" spans="1:10" ht="15.75" customHeight="1">
      <c r="A7" s="6" t="s">
        <v>37</v>
      </c>
      <c r="B7" s="32">
        <v>15000</v>
      </c>
      <c r="C7" s="32">
        <v>2000</v>
      </c>
      <c r="D7" s="32">
        <f>-B7-C7</f>
        <v>-17000</v>
      </c>
      <c r="G7" s="33"/>
      <c r="H7" s="33"/>
    </row>
    <row r="8" spans="1:10" hidden="1">
      <c r="A8" s="6" t="s">
        <v>41</v>
      </c>
      <c r="B8" s="32">
        <v>7000</v>
      </c>
      <c r="C8" s="19" t="s">
        <v>42</v>
      </c>
      <c r="D8" s="19"/>
      <c r="E8" s="19"/>
      <c r="F8" s="19"/>
      <c r="G8" s="48"/>
      <c r="H8" s="48"/>
      <c r="I8" s="19"/>
      <c r="J8" s="19"/>
    </row>
    <row r="9" spans="1:10" ht="15.75" customHeight="1">
      <c r="A9" s="6" t="s">
        <v>43</v>
      </c>
      <c r="B9" s="32">
        <f>(B2-B3)/B5</f>
        <v>41000</v>
      </c>
      <c r="G9" s="33"/>
      <c r="H9" s="33"/>
    </row>
    <row r="10" spans="1:10" ht="15.75" customHeight="1">
      <c r="B10" s="5">
        <v>0</v>
      </c>
      <c r="C10" s="5">
        <v>1</v>
      </c>
      <c r="D10" s="5">
        <v>2</v>
      </c>
      <c r="E10" s="5"/>
      <c r="F10" s="5"/>
      <c r="G10" s="33"/>
      <c r="H10" s="33"/>
    </row>
    <row r="11" spans="1:10" ht="15.75" customHeight="1">
      <c r="A11" s="6" t="s">
        <v>38</v>
      </c>
      <c r="B11" s="49"/>
      <c r="C11" s="51">
        <v>150000</v>
      </c>
      <c r="D11" s="51">
        <v>200000</v>
      </c>
      <c r="E11" s="4"/>
      <c r="F11" s="4"/>
      <c r="G11" s="33"/>
      <c r="H11" s="33"/>
    </row>
    <row r="12" spans="1:10" ht="15.75" customHeight="1">
      <c r="A12" s="6" t="s">
        <v>39</v>
      </c>
      <c r="B12" s="32"/>
      <c r="C12" s="45">
        <v>1.5</v>
      </c>
      <c r="D12" s="45">
        <v>1.8</v>
      </c>
      <c r="E12" s="4"/>
      <c r="F12" s="4"/>
      <c r="G12" s="33"/>
      <c r="H12" s="33"/>
    </row>
    <row r="13" spans="1:10" ht="15.75" customHeight="1">
      <c r="A13" s="6" t="s">
        <v>44</v>
      </c>
      <c r="B13" s="32"/>
      <c r="C13" s="45">
        <v>-0.8</v>
      </c>
      <c r="D13" s="45">
        <v>-1</v>
      </c>
      <c r="E13" s="4"/>
      <c r="F13" s="4"/>
      <c r="G13" s="33"/>
      <c r="H13" s="33"/>
    </row>
    <row r="14" spans="1:10" ht="15.75" customHeight="1">
      <c r="A14" s="6" t="s">
        <v>45</v>
      </c>
      <c r="B14" s="32"/>
      <c r="C14" s="52">
        <v>-20000</v>
      </c>
      <c r="D14" s="52">
        <v>-25000</v>
      </c>
      <c r="E14" s="4"/>
      <c r="F14" s="4"/>
      <c r="G14" s="33"/>
      <c r="H14" s="33"/>
    </row>
    <row r="15" spans="1:10" ht="15.75" customHeight="1">
      <c r="A15" s="6" t="s">
        <v>0</v>
      </c>
      <c r="B15" s="34">
        <v>0.25</v>
      </c>
      <c r="C15" s="4"/>
      <c r="D15" s="4"/>
      <c r="E15" s="4"/>
      <c r="F15" s="4"/>
      <c r="G15" s="33"/>
      <c r="H15" s="33"/>
    </row>
    <row r="16" spans="1:10" s="3" customFormat="1">
      <c r="A16" s="6" t="s">
        <v>21</v>
      </c>
      <c r="B16" s="34">
        <v>0.1</v>
      </c>
      <c r="C16" s="6"/>
    </row>
    <row r="17" spans="1:6" s="3" customFormat="1">
      <c r="A17" s="110" t="s">
        <v>10</v>
      </c>
      <c r="B17" s="110"/>
      <c r="C17" s="110"/>
      <c r="D17" s="110"/>
      <c r="E17" s="24"/>
      <c r="F17" s="24"/>
    </row>
    <row r="18" spans="1:6">
      <c r="A18" s="2" t="s">
        <v>2</v>
      </c>
      <c r="B18" s="5">
        <v>0</v>
      </c>
      <c r="C18" s="5">
        <v>1</v>
      </c>
      <c r="D18" s="5">
        <v>2</v>
      </c>
      <c r="E18" s="5"/>
      <c r="F18" s="5"/>
    </row>
    <row r="19" spans="1:6">
      <c r="A19" s="35" t="s">
        <v>46</v>
      </c>
      <c r="B19" s="35"/>
      <c r="C19" s="32">
        <f>C11*C12</f>
        <v>225000</v>
      </c>
      <c r="D19" s="32">
        <f>D11*D12</f>
        <v>360000</v>
      </c>
      <c r="E19" s="32"/>
      <c r="F19" s="32"/>
    </row>
    <row r="20" spans="1:6">
      <c r="A20" s="35" t="s">
        <v>47</v>
      </c>
      <c r="B20" s="35"/>
      <c r="C20" s="32">
        <f>C11*C13</f>
        <v>-120000</v>
      </c>
      <c r="D20" s="32">
        <f>D11*D13</f>
        <v>-200000</v>
      </c>
      <c r="E20" s="32"/>
      <c r="F20" s="32"/>
    </row>
    <row r="21" spans="1:6">
      <c r="A21" s="35" t="s">
        <v>45</v>
      </c>
      <c r="B21" s="35"/>
      <c r="C21" s="32">
        <f>C14</f>
        <v>-20000</v>
      </c>
      <c r="D21" s="32">
        <f>D14</f>
        <v>-25000</v>
      </c>
      <c r="E21" s="32"/>
      <c r="F21" s="32"/>
    </row>
    <row r="22" spans="1:6">
      <c r="A22" s="35" t="s">
        <v>83</v>
      </c>
      <c r="B22" s="35"/>
      <c r="C22" s="32"/>
      <c r="D22" s="32">
        <f>B4-B3</f>
        <v>30000</v>
      </c>
      <c r="E22" s="32"/>
      <c r="F22" s="32"/>
    </row>
    <row r="23" spans="1:6">
      <c r="A23" s="6" t="s">
        <v>1</v>
      </c>
      <c r="C23" s="36">
        <f>-B9</f>
        <v>-41000</v>
      </c>
      <c r="D23" s="36">
        <f>-B9</f>
        <v>-41000</v>
      </c>
      <c r="E23" s="32"/>
      <c r="F23" s="32"/>
    </row>
    <row r="24" spans="1:6">
      <c r="A24" s="37" t="s">
        <v>53</v>
      </c>
      <c r="B24" s="37"/>
      <c r="C24" s="38">
        <f>SUM(C19:C23)</f>
        <v>44000</v>
      </c>
      <c r="D24" s="38">
        <f>SUM(D19:D23)</f>
        <v>124000</v>
      </c>
      <c r="E24" s="38"/>
      <c r="F24" s="38"/>
    </row>
    <row r="25" spans="1:6">
      <c r="A25" s="6" t="s">
        <v>54</v>
      </c>
      <c r="C25" s="36">
        <f>-$B$15*C24</f>
        <v>-11000</v>
      </c>
      <c r="D25" s="36">
        <f>-$B$15*D24</f>
        <v>-31000</v>
      </c>
      <c r="E25" s="32"/>
      <c r="F25" s="32"/>
    </row>
    <row r="26" spans="1:6">
      <c r="A26" s="24" t="s">
        <v>63</v>
      </c>
      <c r="C26" s="39">
        <f>SUM(C24:C25)</f>
        <v>33000</v>
      </c>
      <c r="D26" s="39">
        <f>SUM(D24:D25)</f>
        <v>93000</v>
      </c>
      <c r="E26" s="39"/>
      <c r="F26" s="39"/>
    </row>
    <row r="27" spans="1:6">
      <c r="A27" s="110" t="s">
        <v>10</v>
      </c>
      <c r="B27" s="110"/>
      <c r="C27" s="110"/>
      <c r="D27" s="110"/>
      <c r="E27" s="24"/>
      <c r="F27" s="24"/>
    </row>
    <row r="28" spans="1:6">
      <c r="A28" s="24" t="s">
        <v>4</v>
      </c>
      <c r="B28" s="5">
        <v>0</v>
      </c>
      <c r="C28" s="5">
        <v>1</v>
      </c>
      <c r="D28" s="5">
        <v>2</v>
      </c>
      <c r="E28" s="5"/>
      <c r="F28" s="5"/>
    </row>
    <row r="29" spans="1:6">
      <c r="A29" s="6" t="s">
        <v>55</v>
      </c>
      <c r="B29" s="32">
        <f>-B2</f>
        <v>-82000</v>
      </c>
      <c r="C29" s="13"/>
      <c r="E29" s="32"/>
      <c r="F29" s="32"/>
    </row>
    <row r="30" spans="1:6">
      <c r="A30" s="6" t="s">
        <v>56</v>
      </c>
      <c r="B30" s="32"/>
      <c r="C30" s="13"/>
      <c r="D30" s="32">
        <f>B4</f>
        <v>30000</v>
      </c>
      <c r="E30" s="32"/>
      <c r="F30" s="32"/>
    </row>
    <row r="31" spans="1:6">
      <c r="A31" s="6" t="s">
        <v>19</v>
      </c>
      <c r="B31" s="32">
        <f>-B7</f>
        <v>-15000</v>
      </c>
      <c r="C31" s="32">
        <f>-C7</f>
        <v>-2000</v>
      </c>
      <c r="D31" s="32">
        <f>-D7</f>
        <v>17000</v>
      </c>
      <c r="E31" s="32"/>
      <c r="F31" s="32"/>
    </row>
    <row r="32" spans="1:6">
      <c r="A32" s="6" t="s">
        <v>3</v>
      </c>
      <c r="B32" s="40"/>
      <c r="C32" s="36">
        <f>C26-C23-C22</f>
        <v>74000</v>
      </c>
      <c r="D32" s="36">
        <f>D26-D23-D22</f>
        <v>104000</v>
      </c>
      <c r="E32" s="32"/>
      <c r="F32" s="32"/>
    </row>
    <row r="33" spans="1:8">
      <c r="A33" s="37" t="s">
        <v>5</v>
      </c>
      <c r="B33" s="38">
        <f>SUM(B29:B32)</f>
        <v>-97000</v>
      </c>
      <c r="C33" s="38">
        <f t="shared" ref="C33:D33" si="0">SUM(C29:C32)</f>
        <v>72000</v>
      </c>
      <c r="D33" s="38">
        <f t="shared" si="0"/>
        <v>151000</v>
      </c>
      <c r="E33" s="38"/>
      <c r="F33" s="38"/>
      <c r="G33" s="32"/>
    </row>
    <row r="34" spans="1:8">
      <c r="A34" s="6" t="s">
        <v>9</v>
      </c>
      <c r="B34" s="32">
        <f>B33/((1+$B$16)^B28)</f>
        <v>-97000</v>
      </c>
      <c r="C34" s="32">
        <f>C33/((1+$B$16)^C28)</f>
        <v>65454.545454545449</v>
      </c>
      <c r="D34" s="32">
        <f>D33/((1+$B$16)^D28)</f>
        <v>124793.38842975204</v>
      </c>
      <c r="E34" s="32"/>
      <c r="F34" s="32"/>
    </row>
    <row r="35" spans="1:8">
      <c r="A35" s="22" t="s">
        <v>6</v>
      </c>
      <c r="B35" s="41">
        <f>SUM(B34:D34)</f>
        <v>93247.933884297498</v>
      </c>
      <c r="C35" s="42"/>
      <c r="D35" s="42"/>
      <c r="E35" s="42"/>
      <c r="F35" s="42"/>
    </row>
    <row r="36" spans="1:8">
      <c r="A36" s="22" t="s">
        <v>7</v>
      </c>
      <c r="B36" s="41">
        <f>SUM(C34:D34)</f>
        <v>190247.9338842975</v>
      </c>
      <c r="C36" s="42"/>
      <c r="D36" s="42"/>
      <c r="E36" s="42"/>
      <c r="F36" s="42"/>
    </row>
    <row r="37" spans="1:8">
      <c r="A37" s="22" t="s">
        <v>8</v>
      </c>
      <c r="B37" s="23">
        <f>IRR(B33:D33)</f>
        <v>0.67284116594285348</v>
      </c>
    </row>
    <row r="38" spans="1:8">
      <c r="A38" s="22" t="s">
        <v>20</v>
      </c>
      <c r="B38" s="43">
        <f>SUM(C38:D38)</f>
        <v>1.1655629139072847</v>
      </c>
      <c r="C38" s="44" t="str">
        <f>IF(SUM($B$33:C33)&gt;0,B28+(1-SUM($B$33:C33)/C33),"")</f>
        <v/>
      </c>
      <c r="D38" s="44">
        <f>IF(SUM($C$38:C38)=0,IF(SUM($B$33:D33)&gt;0,C28+(1-SUM($B$33:D33)/D33),""),"")</f>
        <v>1.1655629139072847</v>
      </c>
      <c r="E38" s="44"/>
      <c r="F38" s="44"/>
    </row>
    <row r="39" spans="1:8">
      <c r="A39" s="22" t="s">
        <v>16</v>
      </c>
      <c r="B39" s="43">
        <f>B36/(-B33)</f>
        <v>1.9613189060236855</v>
      </c>
    </row>
    <row r="41" spans="1:8" s="50" customFormat="1"/>
    <row r="42" spans="1:8">
      <c r="A42" s="24" t="s">
        <v>49</v>
      </c>
      <c r="B42" s="53">
        <f>1-B1</f>
        <v>0.55000000000000004</v>
      </c>
    </row>
    <row r="43" spans="1:8" ht="15.75" customHeight="1">
      <c r="A43" s="6" t="s">
        <v>57</v>
      </c>
      <c r="B43" s="32">
        <f>B2</f>
        <v>82000</v>
      </c>
      <c r="G43" s="1"/>
      <c r="H43" s="1"/>
    </row>
    <row r="44" spans="1:8" ht="15.75" customHeight="1">
      <c r="A44" s="6" t="s">
        <v>36</v>
      </c>
      <c r="B44" s="32">
        <f t="shared" ref="B44:B45" si="1">B3</f>
        <v>0</v>
      </c>
      <c r="G44" s="1"/>
      <c r="H44" s="1"/>
    </row>
    <row r="45" spans="1:8" ht="15.75" customHeight="1">
      <c r="A45" s="6" t="s">
        <v>40</v>
      </c>
      <c r="B45" s="32">
        <f t="shared" si="1"/>
        <v>30000</v>
      </c>
      <c r="G45" s="33"/>
      <c r="H45" s="33"/>
    </row>
    <row r="46" spans="1:8" ht="15.75" customHeight="1">
      <c r="A46" s="6" t="s">
        <v>15</v>
      </c>
      <c r="B46" s="6">
        <v>2</v>
      </c>
      <c r="G46" s="33"/>
      <c r="H46" s="33"/>
    </row>
    <row r="47" spans="1:8" ht="15.75" customHeight="1">
      <c r="B47" s="5">
        <v>0</v>
      </c>
      <c r="C47" s="5">
        <v>1</v>
      </c>
      <c r="D47" s="5">
        <v>2</v>
      </c>
      <c r="G47" s="33"/>
      <c r="H47" s="33"/>
    </row>
    <row r="48" spans="1:8" ht="15.75" customHeight="1">
      <c r="A48" s="6" t="s">
        <v>37</v>
      </c>
      <c r="B48" s="32">
        <v>15000</v>
      </c>
      <c r="C48" s="32">
        <v>2000</v>
      </c>
      <c r="D48" s="32">
        <f>-B48-C48</f>
        <v>-17000</v>
      </c>
      <c r="G48" s="33"/>
      <c r="H48" s="33"/>
    </row>
    <row r="49" spans="1:10" hidden="1">
      <c r="A49" s="6" t="s">
        <v>41</v>
      </c>
      <c r="B49" s="32">
        <v>7000</v>
      </c>
      <c r="C49" s="19" t="s">
        <v>42</v>
      </c>
      <c r="D49" s="19"/>
      <c r="E49" s="19"/>
      <c r="F49" s="19"/>
      <c r="G49" s="48"/>
      <c r="H49" s="48"/>
      <c r="I49" s="19"/>
      <c r="J49" s="19"/>
    </row>
    <row r="50" spans="1:10" ht="15.75" customHeight="1">
      <c r="A50" s="6" t="s">
        <v>43</v>
      </c>
      <c r="B50" s="32">
        <f>(B43-B44)/B46</f>
        <v>41000</v>
      </c>
      <c r="G50" s="33"/>
      <c r="H50" s="33"/>
    </row>
    <row r="51" spans="1:10" ht="15.75" customHeight="1">
      <c r="B51" s="5">
        <v>0</v>
      </c>
      <c r="C51" s="5">
        <v>1</v>
      </c>
      <c r="D51" s="5">
        <v>2</v>
      </c>
      <c r="E51" s="5"/>
      <c r="F51" s="5"/>
      <c r="G51" s="33"/>
      <c r="H51" s="33"/>
    </row>
    <row r="52" spans="1:10" ht="15.75" customHeight="1">
      <c r="A52" s="6" t="s">
        <v>38</v>
      </c>
      <c r="B52" s="49"/>
      <c r="C52" s="51">
        <v>200000</v>
      </c>
      <c r="D52" s="51">
        <v>250000</v>
      </c>
      <c r="E52" s="4"/>
      <c r="F52" s="4"/>
      <c r="G52" s="33"/>
      <c r="H52" s="33"/>
    </row>
    <row r="53" spans="1:10" ht="15.75" customHeight="1">
      <c r="A53" s="6" t="s">
        <v>39</v>
      </c>
      <c r="B53" s="32"/>
      <c r="C53" s="45">
        <v>1.7</v>
      </c>
      <c r="D53" s="45">
        <v>2</v>
      </c>
      <c r="E53" s="4"/>
      <c r="F53" s="4"/>
      <c r="G53" s="33"/>
      <c r="H53" s="33"/>
    </row>
    <row r="54" spans="1:10" ht="15.75" customHeight="1">
      <c r="A54" s="6" t="s">
        <v>44</v>
      </c>
      <c r="B54" s="32"/>
      <c r="C54" s="45">
        <v>-1</v>
      </c>
      <c r="D54" s="45">
        <v>-1.2</v>
      </c>
      <c r="E54" s="4"/>
      <c r="F54" s="4"/>
      <c r="G54" s="33"/>
      <c r="H54" s="33"/>
    </row>
    <row r="55" spans="1:10" ht="15.75" customHeight="1">
      <c r="A55" s="6" t="s">
        <v>45</v>
      </c>
      <c r="B55" s="32"/>
      <c r="C55" s="52">
        <v>-25000</v>
      </c>
      <c r="D55" s="52">
        <v>-30000</v>
      </c>
      <c r="E55" s="4"/>
      <c r="F55" s="4"/>
      <c r="G55" s="33"/>
      <c r="H55" s="33"/>
    </row>
    <row r="56" spans="1:10" ht="15.75" customHeight="1">
      <c r="A56" s="6" t="s">
        <v>0</v>
      </c>
      <c r="B56" s="34">
        <v>0.25</v>
      </c>
      <c r="C56" s="4"/>
      <c r="D56" s="4"/>
      <c r="E56" s="4"/>
      <c r="F56" s="4"/>
      <c r="G56" s="33"/>
      <c r="H56" s="33"/>
    </row>
    <row r="57" spans="1:10" s="3" customFormat="1">
      <c r="A57" s="6" t="s">
        <v>21</v>
      </c>
      <c r="B57" s="34">
        <v>0.1</v>
      </c>
      <c r="C57" s="6"/>
    </row>
    <row r="58" spans="1:10" s="3" customFormat="1">
      <c r="A58" s="110" t="s">
        <v>10</v>
      </c>
      <c r="B58" s="110"/>
      <c r="C58" s="110"/>
      <c r="D58" s="110"/>
      <c r="E58" s="24"/>
      <c r="F58" s="24"/>
    </row>
    <row r="59" spans="1:10">
      <c r="A59" s="2" t="s">
        <v>2</v>
      </c>
      <c r="B59" s="5">
        <v>0</v>
      </c>
      <c r="C59" s="5">
        <v>1</v>
      </c>
      <c r="D59" s="5">
        <v>2</v>
      </c>
      <c r="E59" s="5"/>
      <c r="F59" s="5"/>
    </row>
    <row r="60" spans="1:10">
      <c r="A60" s="35" t="s">
        <v>46</v>
      </c>
      <c r="B60" s="35"/>
      <c r="C60" s="32">
        <f>C52*C53</f>
        <v>340000</v>
      </c>
      <c r="D60" s="32">
        <f>D52*D53</f>
        <v>500000</v>
      </c>
      <c r="E60" s="32"/>
      <c r="F60" s="32"/>
    </row>
    <row r="61" spans="1:10">
      <c r="A61" s="35" t="s">
        <v>47</v>
      </c>
      <c r="B61" s="35"/>
      <c r="C61" s="32">
        <f>C52*C54</f>
        <v>-200000</v>
      </c>
      <c r="D61" s="32">
        <f>D52*D54</f>
        <v>-300000</v>
      </c>
      <c r="E61" s="32"/>
      <c r="F61" s="32"/>
    </row>
    <row r="62" spans="1:10">
      <c r="A62" s="35" t="s">
        <v>45</v>
      </c>
      <c r="B62" s="35"/>
      <c r="C62" s="32">
        <f>C55</f>
        <v>-25000</v>
      </c>
      <c r="D62" s="32">
        <f>D55</f>
        <v>-30000</v>
      </c>
      <c r="E62" s="32"/>
      <c r="F62" s="32"/>
    </row>
    <row r="63" spans="1:10">
      <c r="A63" s="35" t="s">
        <v>83</v>
      </c>
      <c r="B63" s="35"/>
      <c r="C63" s="32"/>
      <c r="D63" s="32">
        <f>B45-B44</f>
        <v>30000</v>
      </c>
      <c r="E63" s="32"/>
      <c r="F63" s="32"/>
    </row>
    <row r="64" spans="1:10">
      <c r="A64" s="6" t="s">
        <v>1</v>
      </c>
      <c r="C64" s="36">
        <f>-B50</f>
        <v>-41000</v>
      </c>
      <c r="D64" s="36">
        <f>-B50</f>
        <v>-41000</v>
      </c>
      <c r="E64" s="32"/>
      <c r="F64" s="32"/>
    </row>
    <row r="65" spans="1:7">
      <c r="A65" s="37" t="s">
        <v>53</v>
      </c>
      <c r="B65" s="37"/>
      <c r="C65" s="38">
        <f>SUM(C60:C64)</f>
        <v>74000</v>
      </c>
      <c r="D65" s="38">
        <f>SUM(D60:D64)</f>
        <v>159000</v>
      </c>
      <c r="E65" s="38"/>
      <c r="F65" s="38"/>
    </row>
    <row r="66" spans="1:7">
      <c r="A66" s="6" t="s">
        <v>54</v>
      </c>
      <c r="C66" s="36">
        <f>-$B$56*C65</f>
        <v>-18500</v>
      </c>
      <c r="D66" s="36">
        <f>-$B$56*D65</f>
        <v>-39750</v>
      </c>
      <c r="E66" s="32"/>
      <c r="F66" s="32"/>
    </row>
    <row r="67" spans="1:7">
      <c r="A67" s="24" t="s">
        <v>63</v>
      </c>
      <c r="C67" s="39">
        <f>SUM(C65:C66)</f>
        <v>55500</v>
      </c>
      <c r="D67" s="39">
        <f>SUM(D65:D66)</f>
        <v>119250</v>
      </c>
      <c r="E67" s="39"/>
      <c r="F67" s="39"/>
    </row>
    <row r="68" spans="1:7">
      <c r="A68" s="110" t="s">
        <v>10</v>
      </c>
      <c r="B68" s="110"/>
      <c r="C68" s="110"/>
      <c r="D68" s="110"/>
      <c r="E68" s="24"/>
      <c r="F68" s="24"/>
    </row>
    <row r="69" spans="1:7">
      <c r="A69" s="24" t="s">
        <v>4</v>
      </c>
      <c r="B69" s="5">
        <v>0</v>
      </c>
      <c r="C69" s="5">
        <v>1</v>
      </c>
      <c r="D69" s="5">
        <v>2</v>
      </c>
      <c r="E69" s="5"/>
      <c r="F69" s="5"/>
    </row>
    <row r="70" spans="1:7">
      <c r="A70" s="6" t="s">
        <v>55</v>
      </c>
      <c r="B70" s="32">
        <f>-B43</f>
        <v>-82000</v>
      </c>
      <c r="C70" s="13"/>
      <c r="E70" s="32"/>
      <c r="F70" s="32"/>
    </row>
    <row r="71" spans="1:7">
      <c r="A71" s="6" t="s">
        <v>56</v>
      </c>
      <c r="B71" s="32"/>
      <c r="C71" s="13"/>
      <c r="D71" s="32">
        <f>B45</f>
        <v>30000</v>
      </c>
      <c r="E71" s="32"/>
      <c r="F71" s="32"/>
    </row>
    <row r="72" spans="1:7">
      <c r="A72" s="6" t="s">
        <v>19</v>
      </c>
      <c r="B72" s="32">
        <f>-B48</f>
        <v>-15000</v>
      </c>
      <c r="C72" s="32">
        <f>-C48</f>
        <v>-2000</v>
      </c>
      <c r="D72" s="32">
        <f>-D48</f>
        <v>17000</v>
      </c>
      <c r="E72" s="32"/>
      <c r="F72" s="32"/>
    </row>
    <row r="73" spans="1:7">
      <c r="A73" s="6" t="s">
        <v>3</v>
      </c>
      <c r="B73" s="40"/>
      <c r="C73" s="36">
        <f>C67-C64-C63</f>
        <v>96500</v>
      </c>
      <c r="D73" s="36">
        <f>D67-D64-D63</f>
        <v>130250</v>
      </c>
      <c r="E73" s="32"/>
      <c r="F73" s="32"/>
    </row>
    <row r="74" spans="1:7">
      <c r="A74" s="37" t="s">
        <v>5</v>
      </c>
      <c r="B74" s="38">
        <f>SUM(B70:B73)</f>
        <v>-97000</v>
      </c>
      <c r="C74" s="38">
        <f t="shared" ref="C74:D74" si="2">SUM(C70:C73)</f>
        <v>94500</v>
      </c>
      <c r="D74" s="38">
        <f t="shared" si="2"/>
        <v>177250</v>
      </c>
      <c r="E74" s="38"/>
      <c r="F74" s="38"/>
      <c r="G74" s="32"/>
    </row>
    <row r="75" spans="1:7">
      <c r="A75" s="6" t="s">
        <v>9</v>
      </c>
      <c r="B75" s="32">
        <f>B74/((1+$B$57)^B69)</f>
        <v>-97000</v>
      </c>
      <c r="C75" s="32">
        <f>C74/((1+$B$57)^C69)</f>
        <v>85909.090909090897</v>
      </c>
      <c r="D75" s="32">
        <f>D74/((1+$B$57)^D69)</f>
        <v>146487.6033057851</v>
      </c>
      <c r="E75" s="32"/>
      <c r="F75" s="32"/>
    </row>
    <row r="76" spans="1:7">
      <c r="A76" s="22" t="s">
        <v>6</v>
      </c>
      <c r="B76" s="41">
        <f>SUM(B75:D75)</f>
        <v>135396.69421487598</v>
      </c>
      <c r="C76" s="42"/>
      <c r="D76" s="42"/>
      <c r="E76" s="42"/>
      <c r="F76" s="42"/>
    </row>
    <row r="77" spans="1:7">
      <c r="A77" s="22" t="s">
        <v>7</v>
      </c>
      <c r="B77" s="41">
        <f>SUM(C75:D75)</f>
        <v>232396.69421487598</v>
      </c>
      <c r="C77" s="42"/>
      <c r="D77" s="42"/>
      <c r="E77" s="42"/>
      <c r="F77" s="42"/>
    </row>
    <row r="78" spans="1:7">
      <c r="A78" s="22" t="s">
        <v>8</v>
      </c>
      <c r="B78" s="23">
        <f>IRR(B74:D74)</f>
        <v>0.92398467468759438</v>
      </c>
    </row>
    <row r="79" spans="1:7">
      <c r="A79" s="22" t="s">
        <v>20</v>
      </c>
      <c r="B79" s="43">
        <f>SUM(C79:D79)</f>
        <v>1.0141043723554302</v>
      </c>
      <c r="C79" s="44" t="str">
        <f>IF(SUM($B$74:C74)&gt;0,B69+(1-SUM($B$74:C74)/C74),"")</f>
        <v/>
      </c>
      <c r="D79" s="44">
        <f>IF(SUM($C$79:C79)=0,IF(SUM($B$74:D74)&gt;0,C69+(1-SUM($B$74:D74)/D74),""),"")</f>
        <v>1.0141043723554302</v>
      </c>
      <c r="E79" s="44"/>
      <c r="F79" s="44"/>
    </row>
    <row r="80" spans="1:7">
      <c r="A80" s="22" t="s">
        <v>16</v>
      </c>
      <c r="B80" s="43">
        <f>B77/(-B74)</f>
        <v>2.3958422084007833</v>
      </c>
    </row>
    <row r="81" spans="1:8">
      <c r="A81" s="3"/>
      <c r="B81" s="46"/>
      <c r="C81" s="45"/>
      <c r="D81" s="45"/>
      <c r="E81" s="47"/>
    </row>
    <row r="82" spans="1:8" s="50" customFormat="1"/>
    <row r="83" spans="1:8">
      <c r="A83" s="24" t="s">
        <v>62</v>
      </c>
      <c r="B83" s="53"/>
    </row>
    <row r="84" spans="1:8" ht="15.75" customHeight="1">
      <c r="A84" s="6" t="s">
        <v>0</v>
      </c>
      <c r="B84" s="34">
        <v>0.25</v>
      </c>
      <c r="C84" s="4"/>
      <c r="D84" s="4"/>
      <c r="E84" s="4"/>
      <c r="F84" s="4"/>
      <c r="G84" s="33"/>
      <c r="H84" s="33"/>
    </row>
    <row r="85" spans="1:8" s="3" customFormat="1">
      <c r="A85" s="6" t="s">
        <v>21</v>
      </c>
      <c r="B85" s="34">
        <v>0.1</v>
      </c>
      <c r="C85" s="6"/>
    </row>
    <row r="86" spans="1:8">
      <c r="A86" s="110" t="s">
        <v>10</v>
      </c>
      <c r="B86" s="110"/>
      <c r="C86" s="110"/>
      <c r="D86" s="110"/>
      <c r="E86" s="24"/>
      <c r="F86" s="24"/>
    </row>
    <row r="87" spans="1:8">
      <c r="A87" s="24"/>
      <c r="B87" s="5">
        <v>0</v>
      </c>
      <c r="C87" s="5">
        <v>1</v>
      </c>
      <c r="D87" s="5">
        <v>2</v>
      </c>
      <c r="E87" s="5"/>
      <c r="F87" s="5"/>
    </row>
    <row r="88" spans="1:8">
      <c r="A88" s="57" t="s">
        <v>59</v>
      </c>
      <c r="B88" s="58">
        <f>B33</f>
        <v>-97000</v>
      </c>
      <c r="C88" s="58">
        <f>C33</f>
        <v>72000</v>
      </c>
      <c r="D88" s="59">
        <f>D33</f>
        <v>151000</v>
      </c>
      <c r="E88" s="5"/>
      <c r="F88" s="5"/>
    </row>
    <row r="89" spans="1:8">
      <c r="A89" s="60" t="s">
        <v>58</v>
      </c>
      <c r="B89" s="61">
        <f>$B$1</f>
        <v>0.45</v>
      </c>
      <c r="C89" s="61">
        <f t="shared" ref="C89:D89" si="3">$B$1</f>
        <v>0.45</v>
      </c>
      <c r="D89" s="62">
        <f t="shared" si="3"/>
        <v>0.45</v>
      </c>
      <c r="E89" s="5"/>
      <c r="F89" s="5"/>
    </row>
    <row r="90" spans="1:8">
      <c r="A90" s="57" t="s">
        <v>60</v>
      </c>
      <c r="B90" s="58">
        <f>B74</f>
        <v>-97000</v>
      </c>
      <c r="C90" s="58">
        <f>C74</f>
        <v>94500</v>
      </c>
      <c r="D90" s="59">
        <f>D74</f>
        <v>177250</v>
      </c>
      <c r="E90" s="5"/>
      <c r="F90" s="5"/>
    </row>
    <row r="91" spans="1:8">
      <c r="A91" s="60" t="s">
        <v>61</v>
      </c>
      <c r="B91" s="61">
        <f>$B$42</f>
        <v>0.55000000000000004</v>
      </c>
      <c r="C91" s="61">
        <f t="shared" ref="C91:D91" si="4">$B$42</f>
        <v>0.55000000000000004</v>
      </c>
      <c r="D91" s="62">
        <f t="shared" si="4"/>
        <v>0.55000000000000004</v>
      </c>
      <c r="E91" s="5"/>
      <c r="F91" s="5"/>
    </row>
    <row r="92" spans="1:8">
      <c r="A92" s="37" t="s">
        <v>50</v>
      </c>
      <c r="B92" s="38">
        <f>B88*B89+B90*B91</f>
        <v>-97000</v>
      </c>
      <c r="C92" s="38">
        <f>C88*C89+C90*C91</f>
        <v>84375</v>
      </c>
      <c r="D92" s="38">
        <f>D88*D89+D90*D91</f>
        <v>165437.5</v>
      </c>
      <c r="E92" s="38"/>
      <c r="F92" s="38"/>
      <c r="G92" s="32"/>
    </row>
    <row r="93" spans="1:8">
      <c r="A93" s="37" t="s">
        <v>51</v>
      </c>
      <c r="B93" s="38">
        <f>SQRT(B89*(B88-B92)^2+B91*(B90-B92)^2)</f>
        <v>0</v>
      </c>
      <c r="C93" s="38">
        <f>SQRT(C89*(C88-C92)^2+C91*(C90-C92)^2)</f>
        <v>11193.608667449475</v>
      </c>
      <c r="D93" s="38">
        <f>SQRT(D89*(D88-D92)^2+D91*(D90-D92)^2)</f>
        <v>13059.210112024386</v>
      </c>
      <c r="E93" s="38"/>
      <c r="F93" s="38"/>
      <c r="G93" s="32"/>
    </row>
    <row r="94" spans="1:8">
      <c r="A94" s="37" t="s">
        <v>52</v>
      </c>
      <c r="B94" s="54">
        <f>B93/B92</f>
        <v>0</v>
      </c>
      <c r="C94" s="54">
        <f t="shared" ref="C94:D94" si="5">C93/C92</f>
        <v>0.13266499161421599</v>
      </c>
      <c r="D94" s="54">
        <f t="shared" si="5"/>
        <v>7.8937424175440182E-2</v>
      </c>
      <c r="E94" s="38"/>
      <c r="F94" s="38"/>
      <c r="G94" s="32"/>
    </row>
    <row r="95" spans="1:8">
      <c r="A95" s="6" t="s">
        <v>9</v>
      </c>
      <c r="B95" s="32">
        <f>B92/((1+$B$85)^B87)</f>
        <v>-97000</v>
      </c>
      <c r="C95" s="32">
        <f>C92/((1+$B$85)^C87)</f>
        <v>76704.545454545441</v>
      </c>
      <c r="D95" s="32">
        <f>D92/((1+$B$85)^D87)</f>
        <v>136725.20661157023</v>
      </c>
      <c r="E95" s="32"/>
      <c r="F95" s="32"/>
    </row>
    <row r="96" spans="1:8">
      <c r="A96" s="22" t="s">
        <v>6</v>
      </c>
      <c r="B96" s="41">
        <f>SUM(B95:D95)</f>
        <v>116429.75206611567</v>
      </c>
      <c r="C96" s="42"/>
      <c r="D96" s="42"/>
      <c r="E96" s="42"/>
      <c r="F96" s="42"/>
    </row>
    <row r="97" spans="1:6">
      <c r="A97" s="22" t="s">
        <v>7</v>
      </c>
      <c r="B97" s="41">
        <f>SUM(C95:D95)</f>
        <v>213429.75206611567</v>
      </c>
      <c r="C97" s="42"/>
      <c r="D97" s="42"/>
      <c r="E97" s="42"/>
      <c r="F97" s="42"/>
    </row>
    <row r="98" spans="1:6">
      <c r="A98" s="22" t="s">
        <v>8</v>
      </c>
      <c r="B98" s="23">
        <f>IRR(B92:D92)</f>
        <v>0.81140332867825937</v>
      </c>
    </row>
    <row r="99" spans="1:6">
      <c r="A99" s="22" t="s">
        <v>20</v>
      </c>
      <c r="B99" s="43">
        <f>SUM(C99:D99)</f>
        <v>1.0763128069512655</v>
      </c>
      <c r="C99" s="44" t="str">
        <f>IF(SUM($B$92:C92)&gt;0,B87+(1-SUM($B$92:C92)/C92),"")</f>
        <v/>
      </c>
      <c r="D99" s="44">
        <f>IF(SUM($C$99:C99)=0,IF(SUM($B$92:D92)&gt;0,C87+(1-SUM($B$92:D92)/D92),""),"")</f>
        <v>1.0763128069512655</v>
      </c>
      <c r="E99" s="44"/>
      <c r="F99" s="44"/>
    </row>
    <row r="100" spans="1:6">
      <c r="A100" s="22" t="s">
        <v>16</v>
      </c>
      <c r="B100" s="43">
        <f>B97/(-B92)</f>
        <v>2.2003067223310895</v>
      </c>
    </row>
  </sheetData>
  <mergeCells count="5">
    <mergeCell ref="A17:D17"/>
    <mergeCell ref="A27:D27"/>
    <mergeCell ref="A58:D58"/>
    <mergeCell ref="A68:D68"/>
    <mergeCell ref="A86:D8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53"/>
  <sheetViews>
    <sheetView showGridLines="0" workbookViewId="0">
      <selection activeCell="A8" sqref="A8"/>
    </sheetView>
  </sheetViews>
  <sheetFormatPr defaultColWidth="9.109375" defaultRowHeight="15.6"/>
  <cols>
    <col min="1" max="1" width="39.109375" style="2" bestFit="1" customWidth="1"/>
    <col min="2" max="2" width="7.6640625" style="3" bestFit="1" customWidth="1"/>
    <col min="3" max="7" width="15.6640625" style="3" customWidth="1"/>
    <col min="8" max="11" width="9.109375" style="3"/>
    <col min="12" max="12" width="39.44140625" style="3" bestFit="1" customWidth="1"/>
    <col min="13" max="13" width="4" style="3" bestFit="1" customWidth="1"/>
    <col min="14" max="14" width="13.109375" style="3" bestFit="1" customWidth="1"/>
    <col min="15" max="15" width="12" style="3" bestFit="1" customWidth="1"/>
    <col min="16" max="16384" width="9.109375" style="3"/>
  </cols>
  <sheetData>
    <row r="1" spans="1:10">
      <c r="C1" s="81" t="s">
        <v>21</v>
      </c>
      <c r="D1" s="82">
        <v>0.09</v>
      </c>
    </row>
    <row r="2" spans="1:10">
      <c r="B2" s="83"/>
      <c r="C2" s="111" t="s">
        <v>110</v>
      </c>
      <c r="D2" s="111"/>
      <c r="E2" s="112" t="s">
        <v>111</v>
      </c>
      <c r="F2" s="112"/>
    </row>
    <row r="3" spans="1:10" s="5" customFormat="1">
      <c r="A3" s="2"/>
      <c r="B3" s="80" t="s">
        <v>112</v>
      </c>
      <c r="C3" s="84" t="s">
        <v>113</v>
      </c>
      <c r="D3" s="86" t="s">
        <v>114</v>
      </c>
      <c r="E3" s="85" t="s">
        <v>115</v>
      </c>
      <c r="F3" s="85" t="s">
        <v>116</v>
      </c>
    </row>
    <row r="4" spans="1:10">
      <c r="B4" s="83">
        <v>0</v>
      </c>
      <c r="C4" s="87">
        <v>-120000</v>
      </c>
      <c r="D4" s="87">
        <v>-120000</v>
      </c>
      <c r="E4" s="88">
        <f>C4/((1+$D$1)^$B4)</f>
        <v>-120000</v>
      </c>
      <c r="F4" s="88">
        <f>D4/((1+$D$1)^L4)</f>
        <v>-120000</v>
      </c>
    </row>
    <row r="5" spans="1:10">
      <c r="B5" s="83">
        <f>B4+1</f>
        <v>1</v>
      </c>
      <c r="C5" s="87">
        <v>80000</v>
      </c>
      <c r="D5" s="87">
        <v>5000</v>
      </c>
      <c r="E5" s="88">
        <f>C5/((1+$D$1)^$B5)</f>
        <v>73394.495412844029</v>
      </c>
      <c r="F5" s="88">
        <f t="shared" ref="F5:F14" si="0">D5/((1+$D$1)^B5)</f>
        <v>4587.1559633027518</v>
      </c>
      <c r="G5" s="89"/>
      <c r="H5" s="89"/>
      <c r="I5" s="89"/>
      <c r="J5" s="89"/>
    </row>
    <row r="6" spans="1:10">
      <c r="B6" s="83">
        <f t="shared" ref="B6:B14" si="1">B5+1</f>
        <v>2</v>
      </c>
      <c r="C6" s="87">
        <v>50000</v>
      </c>
      <c r="D6" s="87">
        <v>5000</v>
      </c>
      <c r="E6" s="88">
        <f>C6/((1+$D$1)^$B6)</f>
        <v>42083.999663327995</v>
      </c>
      <c r="F6" s="88">
        <f t="shared" si="0"/>
        <v>4208.3999663327995</v>
      </c>
    </row>
    <row r="7" spans="1:10">
      <c r="B7" s="83">
        <f t="shared" si="1"/>
        <v>3</v>
      </c>
      <c r="C7" s="87">
        <v>10000</v>
      </c>
      <c r="D7" s="87">
        <v>10000</v>
      </c>
      <c r="E7" s="88">
        <f>C7/((1+$D$1)^$B7)</f>
        <v>7721.8348006106417</v>
      </c>
      <c r="F7" s="88">
        <f t="shared" si="0"/>
        <v>7721.8348006106417</v>
      </c>
    </row>
    <row r="8" spans="1:10">
      <c r="B8" s="83">
        <f t="shared" si="1"/>
        <v>4</v>
      </c>
      <c r="D8" s="87">
        <v>20000</v>
      </c>
      <c r="E8" s="89"/>
      <c r="F8" s="88">
        <f t="shared" si="0"/>
        <v>14168.504221303929</v>
      </c>
      <c r="J8" s="89"/>
    </row>
    <row r="9" spans="1:10">
      <c r="B9" s="83">
        <f t="shared" si="1"/>
        <v>5</v>
      </c>
      <c r="C9" s="89"/>
      <c r="D9" s="87">
        <v>25000</v>
      </c>
      <c r="E9" s="89"/>
      <c r="F9" s="88">
        <f t="shared" si="0"/>
        <v>16248.284657458633</v>
      </c>
      <c r="G9" s="89"/>
      <c r="H9" s="89"/>
      <c r="I9" s="89"/>
      <c r="J9" s="89"/>
    </row>
    <row r="10" spans="1:10">
      <c r="A10" s="3"/>
      <c r="B10" s="83">
        <f t="shared" si="1"/>
        <v>6</v>
      </c>
      <c r="D10" s="87">
        <v>25000</v>
      </c>
      <c r="F10" s="88">
        <f t="shared" si="0"/>
        <v>14906.683171980396</v>
      </c>
    </row>
    <row r="11" spans="1:10">
      <c r="A11" s="3"/>
      <c r="B11" s="83">
        <f t="shared" si="1"/>
        <v>7</v>
      </c>
      <c r="D11" s="87">
        <v>30000</v>
      </c>
      <c r="F11" s="88">
        <f t="shared" si="0"/>
        <v>16411.027345299517</v>
      </c>
    </row>
    <row r="12" spans="1:10">
      <c r="A12" s="3"/>
      <c r="B12" s="83">
        <f t="shared" si="1"/>
        <v>8</v>
      </c>
      <c r="D12" s="87">
        <v>30000</v>
      </c>
      <c r="F12" s="88">
        <f t="shared" si="0"/>
        <v>15055.988390183044</v>
      </c>
    </row>
    <row r="13" spans="1:10">
      <c r="A13" s="3"/>
      <c r="B13" s="83">
        <f t="shared" si="1"/>
        <v>9</v>
      </c>
      <c r="D13" s="87">
        <v>35000</v>
      </c>
      <c r="F13" s="88">
        <f t="shared" si="0"/>
        <v>16114.972283070534</v>
      </c>
    </row>
    <row r="14" spans="1:10" ht="16.2" thickBot="1">
      <c r="A14" s="3"/>
      <c r="B14" s="83">
        <f t="shared" si="1"/>
        <v>10</v>
      </c>
      <c r="D14" s="87">
        <v>35000</v>
      </c>
      <c r="F14" s="88">
        <f t="shared" si="0"/>
        <v>14784.378241349112</v>
      </c>
    </row>
    <row r="15" spans="1:10">
      <c r="A15" s="90"/>
      <c r="B15" s="91"/>
      <c r="C15" s="92" t="s">
        <v>113</v>
      </c>
      <c r="D15" s="93" t="s">
        <v>114</v>
      </c>
    </row>
    <row r="16" spans="1:10">
      <c r="A16" s="94" t="s">
        <v>117</v>
      </c>
      <c r="C16" s="95">
        <f>B5+(-SUM(C4:C5))/C6</f>
        <v>1.8</v>
      </c>
      <c r="D16" s="96">
        <f>B11+(-SUM(D4:D11))/D12</f>
        <v>7</v>
      </c>
      <c r="E16" s="89"/>
      <c r="F16" s="95"/>
    </row>
    <row r="17" spans="1:6">
      <c r="A17" s="94" t="s">
        <v>118</v>
      </c>
      <c r="C17" s="95">
        <f>$B6+(-SUM(E4:E6))/E7</f>
        <v>2.585548000000002</v>
      </c>
      <c r="D17" s="96">
        <f>$B13+(-SUM(F4:F13))/F14</f>
        <v>9.7154273942258502</v>
      </c>
      <c r="E17" s="89"/>
      <c r="F17" s="4"/>
    </row>
    <row r="18" spans="1:6">
      <c r="A18" s="94" t="s">
        <v>6</v>
      </c>
      <c r="C18" s="89">
        <f>SUM(E4:E7)</f>
        <v>3200.3298767826664</v>
      </c>
      <c r="D18" s="97">
        <f>NPV(D1,D5:D14)+D4</f>
        <v>4207.2290408913541</v>
      </c>
      <c r="E18" s="89"/>
      <c r="F18" s="89"/>
    </row>
    <row r="19" spans="1:6">
      <c r="A19" s="94" t="s">
        <v>119</v>
      </c>
      <c r="C19" s="95">
        <f>SUM(E5:E7)/(-E4)</f>
        <v>1.0266694156398555</v>
      </c>
      <c r="D19" s="96">
        <f>SUM(F5:F14)/(-F4)</f>
        <v>1.035060242007428</v>
      </c>
      <c r="E19" s="89"/>
      <c r="F19" s="89"/>
    </row>
    <row r="20" spans="1:6" ht="16.2" thickBot="1">
      <c r="A20" s="98" t="s">
        <v>8</v>
      </c>
      <c r="B20" s="99"/>
      <c r="C20" s="100">
        <f>IRR(C4:C7)</f>
        <v>0.1097789567578733</v>
      </c>
      <c r="D20" s="101">
        <f>IRR(D4:D14)</f>
        <v>9.5924145310443354E-2</v>
      </c>
      <c r="E20" s="89"/>
      <c r="F20" s="89"/>
    </row>
    <row r="21" spans="1:6" ht="16.2" thickBot="1">
      <c r="C21" s="89"/>
      <c r="D21" s="89"/>
      <c r="E21" s="89"/>
      <c r="F21" s="89"/>
    </row>
    <row r="22" spans="1:6">
      <c r="A22" s="5"/>
      <c r="B22" s="102" t="s">
        <v>21</v>
      </c>
      <c r="C22" s="103" t="s">
        <v>120</v>
      </c>
      <c r="D22" s="104" t="s">
        <v>121</v>
      </c>
    </row>
    <row r="23" spans="1:6">
      <c r="A23" s="4"/>
      <c r="B23" s="105">
        <v>0.05</v>
      </c>
      <c r="C23" s="89">
        <f t="shared" ref="C23:C53" si="2">NPV($B23,C$5:C$7)+C$4</f>
        <v>10180.326098693433</v>
      </c>
      <c r="D23" s="97">
        <f>NPV($B23,D$5:D$14)+D$4</f>
        <v>38306.913419288292</v>
      </c>
    </row>
    <row r="24" spans="1:6">
      <c r="A24" s="4"/>
      <c r="B24" s="105">
        <f>B23+0.005</f>
        <v>5.5E-2</v>
      </c>
      <c r="C24" s="89">
        <f t="shared" si="2"/>
        <v>9268.1413137907948</v>
      </c>
      <c r="D24" s="97">
        <f t="shared" ref="D24:D53" si="3">NPV($B24,D$5:D$14)+D$4</f>
        <v>33429.73955295817</v>
      </c>
    </row>
    <row r="25" spans="1:6">
      <c r="A25" s="4"/>
      <c r="B25" s="105">
        <f t="shared" ref="B25:B53" si="4">B24+0.005</f>
        <v>0.06</v>
      </c>
      <c r="C25" s="89">
        <f t="shared" si="2"/>
        <v>8367.7129442425357</v>
      </c>
      <c r="D25" s="97">
        <f t="shared" si="3"/>
        <v>28744.84522437831</v>
      </c>
    </row>
    <row r="26" spans="1:6">
      <c r="A26" s="4"/>
      <c r="B26" s="105">
        <f t="shared" si="4"/>
        <v>6.5000000000000002E-2</v>
      </c>
      <c r="C26" s="89">
        <f t="shared" si="2"/>
        <v>7478.8259485572635</v>
      </c>
      <c r="D26" s="97">
        <f t="shared" si="3"/>
        <v>24243.355004964658</v>
      </c>
    </row>
    <row r="27" spans="1:6">
      <c r="A27" s="4"/>
      <c r="B27" s="105">
        <f t="shared" si="4"/>
        <v>7.0000000000000007E-2</v>
      </c>
      <c r="C27" s="89">
        <f t="shared" si="2"/>
        <v>6601.2703227559978</v>
      </c>
      <c r="D27" s="97">
        <f t="shared" si="3"/>
        <v>19916.855538640433</v>
      </c>
    </row>
    <row r="28" spans="1:6">
      <c r="A28" s="4"/>
      <c r="B28" s="105">
        <f t="shared" si="4"/>
        <v>7.5000000000000011E-2</v>
      </c>
      <c r="C28" s="89">
        <f t="shared" si="2"/>
        <v>5734.8409573999961</v>
      </c>
      <c r="D28" s="97">
        <f t="shared" si="3"/>
        <v>15757.368984450557</v>
      </c>
    </row>
    <row r="29" spans="1:6">
      <c r="A29" s="4"/>
      <c r="B29" s="105">
        <f t="shared" si="4"/>
        <v>8.0000000000000016E-2</v>
      </c>
      <c r="C29" s="89">
        <f t="shared" si="2"/>
        <v>4879.3374993649049</v>
      </c>
      <c r="D29" s="97">
        <f t="shared" si="3"/>
        <v>11757.328120679042</v>
      </c>
    </row>
    <row r="30" spans="1:6">
      <c r="A30" s="4"/>
      <c r="B30" s="105">
        <f t="shared" si="4"/>
        <v>8.500000000000002E-2</v>
      </c>
      <c r="C30" s="89">
        <f t="shared" si="2"/>
        <v>4034.5642181835719</v>
      </c>
      <c r="D30" s="97">
        <f t="shared" si="3"/>
        <v>7909.5529984538734</v>
      </c>
    </row>
    <row r="31" spans="1:6">
      <c r="A31" s="4"/>
      <c r="B31" s="105">
        <f t="shared" si="4"/>
        <v>9.0000000000000024E-2</v>
      </c>
      <c r="C31" s="89">
        <f t="shared" si="2"/>
        <v>3200.3298767826782</v>
      </c>
      <c r="D31" s="97">
        <f t="shared" si="3"/>
        <v>4207.2290408913541</v>
      </c>
    </row>
    <row r="32" spans="1:6">
      <c r="A32" s="4"/>
      <c r="B32" s="105">
        <f t="shared" si="4"/>
        <v>9.5000000000000029E-2</v>
      </c>
      <c r="C32" s="89">
        <f t="shared" si="2"/>
        <v>2376.4476064504124</v>
      </c>
      <c r="D32" s="97">
        <f t="shared" si="3"/>
        <v>643.88649129892292</v>
      </c>
    </row>
    <row r="33" spans="1:4">
      <c r="A33" s="4"/>
      <c r="B33" s="105">
        <f t="shared" si="4"/>
        <v>0.10000000000000003</v>
      </c>
      <c r="C33" s="89">
        <f t="shared" si="2"/>
        <v>1562.7347858752473</v>
      </c>
      <c r="D33" s="97">
        <f t="shared" si="3"/>
        <v>-2786.6188791625464</v>
      </c>
    </row>
    <row r="34" spans="1:4">
      <c r="A34" s="4"/>
      <c r="B34" s="105">
        <f t="shared" si="4"/>
        <v>0.10500000000000004</v>
      </c>
      <c r="C34" s="89">
        <f t="shared" si="2"/>
        <v>759.01292410565657</v>
      </c>
      <c r="D34" s="97">
        <f t="shared" si="3"/>
        <v>-6090.1238875832059</v>
      </c>
    </row>
    <row r="35" spans="1:4">
      <c r="A35" s="4"/>
      <c r="B35" s="105">
        <f t="shared" si="4"/>
        <v>0.11000000000000004</v>
      </c>
      <c r="C35" s="89">
        <f t="shared" si="2"/>
        <v>-34.892452715692343</v>
      </c>
      <c r="D35" s="97">
        <f t="shared" si="3"/>
        <v>-9272.1749565228674</v>
      </c>
    </row>
    <row r="36" spans="1:4">
      <c r="A36" s="4"/>
      <c r="B36" s="105">
        <f t="shared" si="4"/>
        <v>0.11500000000000005</v>
      </c>
      <c r="C36" s="89">
        <f t="shared" si="2"/>
        <v>-819.15191098084324</v>
      </c>
      <c r="D36" s="97">
        <f t="shared" si="3"/>
        <v>-12338.044104241679</v>
      </c>
    </row>
    <row r="37" spans="1:4">
      <c r="A37" s="4"/>
      <c r="B37" s="105">
        <f t="shared" si="4"/>
        <v>0.12000000000000005</v>
      </c>
      <c r="C37" s="89">
        <f t="shared" si="2"/>
        <v>-1593.9322157434653</v>
      </c>
      <c r="D37" s="97">
        <f t="shared" si="3"/>
        <v>-15292.743974812955</v>
      </c>
    </row>
    <row r="38" spans="1:4">
      <c r="A38" s="4"/>
      <c r="B38" s="105">
        <f t="shared" si="4"/>
        <v>0.12500000000000006</v>
      </c>
      <c r="C38" s="89">
        <f t="shared" si="2"/>
        <v>-2359.3964334705088</v>
      </c>
      <c r="D38" s="97">
        <f t="shared" si="3"/>
        <v>-18141.041970320555</v>
      </c>
    </row>
    <row r="39" spans="1:4">
      <c r="A39" s="4"/>
      <c r="B39" s="105">
        <f t="shared" si="4"/>
        <v>0.13000000000000006</v>
      </c>
      <c r="C39" s="89">
        <f t="shared" si="2"/>
        <v>-3115.7040315421036</v>
      </c>
      <c r="D39" s="97">
        <f t="shared" si="3"/>
        <v>-20887.473543035579</v>
      </c>
    </row>
    <row r="40" spans="1:4">
      <c r="A40" s="4"/>
      <c r="B40" s="105">
        <f t="shared" si="4"/>
        <v>0.13500000000000006</v>
      </c>
      <c r="C40" s="89">
        <f t="shared" si="2"/>
        <v>-3863.0109746164817</v>
      </c>
      <c r="D40" s="97">
        <f t="shared" si="3"/>
        <v>-23536.354701464283</v>
      </c>
    </row>
    <row r="41" spans="1:4">
      <c r="A41" s="4"/>
      <c r="B41" s="105">
        <f t="shared" si="4"/>
        <v>0.14000000000000007</v>
      </c>
      <c r="C41" s="89">
        <f t="shared" si="2"/>
        <v>-4601.4698179737024</v>
      </c>
      <c r="D41" s="97">
        <f t="shared" si="3"/>
        <v>-26091.793780462918</v>
      </c>
    </row>
    <row r="42" spans="1:4">
      <c r="A42" s="4"/>
      <c r="B42" s="105">
        <f t="shared" si="4"/>
        <v>0.14500000000000007</v>
      </c>
      <c r="C42" s="89">
        <f t="shared" si="2"/>
        <v>-5331.2297979455179</v>
      </c>
      <c r="D42" s="97">
        <f t="shared" si="3"/>
        <v>-28557.702522176871</v>
      </c>
    </row>
    <row r="43" spans="1:4">
      <c r="A43" s="4"/>
      <c r="B43" s="105">
        <f t="shared" si="4"/>
        <v>0.15000000000000008</v>
      </c>
      <c r="C43" s="89">
        <f t="shared" si="2"/>
        <v>-6052.4369195364707</v>
      </c>
      <c r="D43" s="97">
        <f t="shared" si="3"/>
        <v>-30937.806511384741</v>
      </c>
    </row>
    <row r="44" spans="1:4">
      <c r="A44" s="4"/>
      <c r="B44" s="105">
        <f t="shared" si="4"/>
        <v>0.15500000000000008</v>
      </c>
      <c r="C44" s="89">
        <f t="shared" si="2"/>
        <v>-6765.234041334581</v>
      </c>
      <c r="D44" s="97">
        <f t="shared" si="3"/>
        <v>-33235.655005871464</v>
      </c>
    </row>
    <row r="45" spans="1:4">
      <c r="A45" s="4"/>
      <c r="B45" s="105">
        <f t="shared" si="4"/>
        <v>0.16000000000000009</v>
      </c>
      <c r="C45" s="89">
        <f t="shared" si="2"/>
        <v>-7469.7609578088741</v>
      </c>
      <c r="D45" s="97">
        <f t="shared" si="3"/>
        <v>-35454.630199720443</v>
      </c>
    </row>
    <row r="46" spans="1:4">
      <c r="A46" s="4"/>
      <c r="B46" s="105">
        <f t="shared" si="4"/>
        <v>0.16500000000000009</v>
      </c>
      <c r="C46" s="89">
        <f t="shared" si="2"/>
        <v>-8166.1544790845655</v>
      </c>
      <c r="D46" s="97">
        <f t="shared" si="3"/>
        <v>-37597.95595486676</v>
      </c>
    </row>
    <row r="47" spans="1:4">
      <c r="A47" s="4"/>
      <c r="B47" s="105">
        <f t="shared" si="4"/>
        <v>0.1700000000000001</v>
      </c>
      <c r="C47" s="89">
        <f t="shared" si="2"/>
        <v>-8854.5485082851083</v>
      </c>
      <c r="D47" s="97">
        <f t="shared" si="3"/>
        <v>-39668.706033898721</v>
      </c>
    </row>
    <row r="48" spans="1:4">
      <c r="A48" s="4"/>
      <c r="B48" s="105">
        <f t="shared" si="4"/>
        <v>0.1750000000000001</v>
      </c>
      <c r="C48" s="89">
        <f t="shared" si="2"/>
        <v>-9535.0741165252548</v>
      </c>
      <c r="D48" s="97">
        <f t="shared" si="3"/>
        <v>-41669.811864896401</v>
      </c>
    </row>
    <row r="49" spans="1:4">
      <c r="A49" s="4"/>
      <c r="B49" s="105">
        <f t="shared" si="4"/>
        <v>0.1800000000000001</v>
      </c>
      <c r="C49" s="89">
        <f t="shared" si="2"/>
        <v>-10207.859615637455</v>
      </c>
      <c r="D49" s="97">
        <f t="shared" si="3"/>
        <v>-43604.069867063852</v>
      </c>
    </row>
    <row r="50" spans="1:4">
      <c r="A50" s="4"/>
      <c r="B50" s="105">
        <f t="shared" si="4"/>
        <v>0.18500000000000011</v>
      </c>
      <c r="C50" s="89">
        <f t="shared" si="2"/>
        <v>-10873.030628709195</v>
      </c>
      <c r="D50" s="97">
        <f t="shared" si="3"/>
        <v>-45474.148364011839</v>
      </c>
    </row>
    <row r="51" spans="1:4">
      <c r="A51" s="4"/>
      <c r="B51" s="105">
        <f t="shared" si="4"/>
        <v>0.19000000000000011</v>
      </c>
      <c r="C51" s="89">
        <f t="shared" si="2"/>
        <v>-11530.710158507325</v>
      </c>
      <c r="D51" s="97">
        <f t="shared" si="3"/>
        <v>-47282.59410979283</v>
      </c>
    </row>
    <row r="52" spans="1:4">
      <c r="A52" s="4"/>
      <c r="B52" s="105">
        <f t="shared" si="4"/>
        <v>0.19500000000000012</v>
      </c>
      <c r="C52" s="89">
        <f t="shared" si="2"/>
        <v>-12181.018653861058</v>
      </c>
      <c r="D52" s="97">
        <f t="shared" si="3"/>
        <v>-49031.838451145522</v>
      </c>
    </row>
    <row r="53" spans="1:4" ht="16.2" thickBot="1">
      <c r="A53" s="4"/>
      <c r="B53" s="106">
        <f t="shared" si="4"/>
        <v>0.20000000000000012</v>
      </c>
      <c r="C53" s="107">
        <f t="shared" si="2"/>
        <v>-12824.074074074102</v>
      </c>
      <c r="D53" s="108">
        <f t="shared" si="3"/>
        <v>-50724.203147888897</v>
      </c>
    </row>
  </sheetData>
  <mergeCells count="2">
    <mergeCell ref="C2:D2"/>
    <mergeCell ref="E2:F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55"/>
  <sheetViews>
    <sheetView showGridLines="0" topLeftCell="A15" workbookViewId="0">
      <selection activeCell="D21" sqref="D21"/>
    </sheetView>
  </sheetViews>
  <sheetFormatPr defaultColWidth="8.88671875" defaultRowHeight="15.6"/>
  <cols>
    <col min="1" max="1" width="20.44140625" style="6" customWidth="1"/>
    <col min="2" max="2" width="32" style="6" bestFit="1" customWidth="1"/>
    <col min="3" max="3" width="18.109375" style="6" bestFit="1" customWidth="1"/>
    <col min="4" max="4" width="16" style="6" bestFit="1" customWidth="1"/>
    <col min="5" max="16384" width="8.88671875" style="6"/>
  </cols>
  <sheetData>
    <row r="1" spans="1:4" ht="20.100000000000001" customHeight="1">
      <c r="A1" s="115" t="s">
        <v>22</v>
      </c>
      <c r="B1" s="115"/>
      <c r="C1" s="115"/>
      <c r="D1" s="24"/>
    </row>
    <row r="2" spans="1:4">
      <c r="B2" s="6" t="s">
        <v>12</v>
      </c>
      <c r="C2" s="7">
        <v>0.35</v>
      </c>
    </row>
    <row r="3" spans="1:4" ht="20.100000000000001" customHeight="1"/>
    <row r="4" spans="1:4" ht="20.100000000000001" customHeight="1">
      <c r="A4" s="114" t="s">
        <v>102</v>
      </c>
      <c r="B4" s="77" t="s">
        <v>23</v>
      </c>
      <c r="C4" s="78">
        <v>0</v>
      </c>
    </row>
    <row r="5" spans="1:4" ht="20.100000000000001" customHeight="1">
      <c r="A5" s="114"/>
      <c r="B5" s="77" t="s">
        <v>24</v>
      </c>
      <c r="C5" s="77">
        <v>1</v>
      </c>
    </row>
    <row r="6" spans="1:4" ht="20.100000000000001" customHeight="1">
      <c r="A6" s="114"/>
      <c r="B6" s="77" t="s">
        <v>25</v>
      </c>
      <c r="C6" s="77">
        <v>5</v>
      </c>
    </row>
    <row r="7" spans="1:4" ht="20.100000000000001" customHeight="1">
      <c r="A7" s="114"/>
      <c r="B7" s="77" t="s">
        <v>26</v>
      </c>
      <c r="C7" s="79">
        <v>32000000</v>
      </c>
    </row>
    <row r="8" spans="1:4" ht="20.100000000000001" customHeight="1">
      <c r="A8" s="114"/>
      <c r="B8" s="77" t="s">
        <v>27</v>
      </c>
      <c r="C8" s="79">
        <f>C7*80%</f>
        <v>25600000</v>
      </c>
      <c r="D8" s="63"/>
    </row>
    <row r="9" spans="1:4" ht="20.100000000000001" customHeight="1">
      <c r="A9" s="114"/>
      <c r="B9" s="55" t="s">
        <v>28</v>
      </c>
      <c r="C9" s="56">
        <f>C5*RATE(C5*C6,C4*C7/C5,-C8,C7,,1)</f>
        <v>4.56395525912731E-2</v>
      </c>
    </row>
    <row r="10" spans="1:4" ht="20.100000000000001" customHeight="1">
      <c r="A10" s="114"/>
      <c r="B10" s="55" t="s">
        <v>13</v>
      </c>
      <c r="C10" s="56">
        <f>C9*(1-C2)</f>
        <v>2.9665709184327517E-2</v>
      </c>
    </row>
    <row r="11" spans="1:4" ht="20.100000000000001" customHeight="1"/>
    <row r="12" spans="1:4" ht="20.100000000000001" customHeight="1">
      <c r="A12" s="116" t="s">
        <v>17</v>
      </c>
      <c r="B12" s="8" t="s">
        <v>23</v>
      </c>
      <c r="C12" s="9">
        <v>0.04</v>
      </c>
    </row>
    <row r="13" spans="1:4" ht="20.100000000000001" customHeight="1">
      <c r="A13" s="116"/>
      <c r="B13" s="8" t="s">
        <v>24</v>
      </c>
      <c r="C13" s="8">
        <v>1</v>
      </c>
    </row>
    <row r="14" spans="1:4" ht="20.100000000000001" customHeight="1">
      <c r="A14" s="116"/>
      <c r="B14" s="8" t="s">
        <v>25</v>
      </c>
      <c r="C14" s="8">
        <v>5</v>
      </c>
    </row>
    <row r="15" spans="1:4" ht="20.100000000000001" customHeight="1">
      <c r="A15" s="116"/>
      <c r="B15" s="8" t="s">
        <v>26</v>
      </c>
      <c r="C15" s="10">
        <v>26000000</v>
      </c>
      <c r="D15" s="63">
        <f>C15*C12</f>
        <v>1040000</v>
      </c>
    </row>
    <row r="16" spans="1:4" ht="20.100000000000001" customHeight="1">
      <c r="A16" s="116"/>
      <c r="B16" s="8" t="s">
        <v>27</v>
      </c>
      <c r="C16" s="10">
        <f>C15*95%</f>
        <v>24700000</v>
      </c>
      <c r="D16" s="72"/>
    </row>
    <row r="17" spans="1:4" ht="20.100000000000001" customHeight="1">
      <c r="A17" s="116"/>
      <c r="B17" s="11" t="s">
        <v>28</v>
      </c>
      <c r="C17" s="12">
        <f>C13*RATE(C13*C14,C12*C15/C13,-C16,C15,,1)</f>
        <v>5.1599861525094513E-2</v>
      </c>
    </row>
    <row r="18" spans="1:4" ht="20.100000000000001" customHeight="1">
      <c r="A18" s="116"/>
      <c r="B18" s="11" t="s">
        <v>13</v>
      </c>
      <c r="C18" s="12">
        <f>C17*(1-C2)</f>
        <v>3.3539909991311435E-2</v>
      </c>
    </row>
    <row r="19" spans="1:4" ht="20.100000000000001" customHeight="1"/>
    <row r="20" spans="1:4" ht="20.100000000000001" customHeight="1">
      <c r="A20" s="117" t="s">
        <v>90</v>
      </c>
      <c r="B20" s="64" t="s">
        <v>104</v>
      </c>
      <c r="C20" s="67">
        <v>40</v>
      </c>
    </row>
    <row r="21" spans="1:4" ht="20.100000000000001" customHeight="1">
      <c r="A21" s="117"/>
      <c r="B21" s="64" t="s">
        <v>26</v>
      </c>
      <c r="C21" s="67">
        <v>18000000</v>
      </c>
      <c r="D21" s="6">
        <f>C21/C22</f>
        <v>40</v>
      </c>
    </row>
    <row r="22" spans="1:4" ht="20.100000000000001" customHeight="1">
      <c r="A22" s="117"/>
      <c r="B22" s="64" t="s">
        <v>105</v>
      </c>
      <c r="C22" s="66">
        <f>C21/C20</f>
        <v>450000</v>
      </c>
    </row>
    <row r="23" spans="1:4" ht="20.100000000000001" customHeight="1">
      <c r="A23" s="117"/>
      <c r="B23" s="64" t="s">
        <v>103</v>
      </c>
      <c r="C23" s="73">
        <v>0.12</v>
      </c>
    </row>
    <row r="24" spans="1:4" ht="20.100000000000001" customHeight="1">
      <c r="A24" s="117"/>
      <c r="B24" s="64" t="s">
        <v>91</v>
      </c>
      <c r="C24" s="64">
        <v>1</v>
      </c>
    </row>
    <row r="25" spans="1:4" ht="20.100000000000001" customHeight="1">
      <c r="A25" s="117"/>
      <c r="B25" s="64" t="s">
        <v>92</v>
      </c>
      <c r="C25" s="67">
        <f>C21*C26</f>
        <v>360000</v>
      </c>
      <c r="D25" s="13"/>
    </row>
    <row r="26" spans="1:4" ht="20.100000000000001" customHeight="1">
      <c r="A26" s="117"/>
      <c r="B26" s="64" t="s">
        <v>93</v>
      </c>
      <c r="C26" s="73">
        <v>0.02</v>
      </c>
      <c r="D26" s="13"/>
    </row>
    <row r="27" spans="1:4" ht="20.100000000000001" customHeight="1">
      <c r="A27" s="117"/>
      <c r="B27" s="74" t="s">
        <v>94</v>
      </c>
      <c r="C27" s="75">
        <f>C21*C23/C24</f>
        <v>2160000</v>
      </c>
    </row>
    <row r="28" spans="1:4" ht="20.100000000000001" customHeight="1">
      <c r="A28" s="117"/>
      <c r="B28" s="74" t="s">
        <v>95</v>
      </c>
      <c r="C28" s="76">
        <f>C27*C24/(C21*(1-C26))</f>
        <v>0.12244897959183673</v>
      </c>
      <c r="D28" s="7"/>
    </row>
    <row r="29" spans="1:4" ht="20.100000000000001" customHeight="1"/>
    <row r="30" spans="1:4" ht="20.100000000000001" customHeight="1">
      <c r="A30" s="118" t="s">
        <v>29</v>
      </c>
      <c r="B30" s="14" t="s">
        <v>30</v>
      </c>
      <c r="C30" s="15">
        <v>50</v>
      </c>
    </row>
    <row r="31" spans="1:4" ht="20.100000000000001" customHeight="1">
      <c r="A31" s="118"/>
      <c r="B31" s="14" t="s">
        <v>11</v>
      </c>
      <c r="C31" s="15">
        <v>2.5</v>
      </c>
    </row>
    <row r="32" spans="1:4" ht="20.100000000000001" customHeight="1">
      <c r="A32" s="118"/>
      <c r="B32" s="14" t="s">
        <v>31</v>
      </c>
      <c r="C32" s="16">
        <v>0.08</v>
      </c>
    </row>
    <row r="33" spans="1:5" ht="20.100000000000001" customHeight="1">
      <c r="A33" s="118"/>
      <c r="B33" s="14" t="s">
        <v>96</v>
      </c>
      <c r="C33" s="14">
        <v>1.4</v>
      </c>
    </row>
    <row r="34" spans="1:5" ht="20.100000000000001" customHeight="1">
      <c r="A34" s="118"/>
      <c r="B34" s="14" t="s">
        <v>97</v>
      </c>
      <c r="C34" s="16">
        <v>0.04</v>
      </c>
    </row>
    <row r="35" spans="1:5" ht="20.100000000000001" customHeight="1">
      <c r="A35" s="118"/>
      <c r="B35" s="14" t="s">
        <v>98</v>
      </c>
      <c r="C35" s="16">
        <v>0.08</v>
      </c>
    </row>
    <row r="36" spans="1:5" ht="20.100000000000001" customHeight="1">
      <c r="A36" s="118"/>
      <c r="B36" s="14" t="s">
        <v>99</v>
      </c>
      <c r="C36" s="16">
        <f>C34+C35</f>
        <v>0.12</v>
      </c>
    </row>
    <row r="37" spans="1:5" ht="20.100000000000001" customHeight="1">
      <c r="A37" s="118"/>
      <c r="B37" s="17" t="s">
        <v>18</v>
      </c>
      <c r="C37" s="18">
        <f>(C31*(1+C32)/C30)+C32</f>
        <v>0.13400000000000001</v>
      </c>
    </row>
    <row r="38" spans="1:5" ht="20.100000000000001" customHeight="1">
      <c r="A38" s="118"/>
      <c r="B38" s="17" t="s">
        <v>100</v>
      </c>
      <c r="C38" s="18">
        <f>C34+(C36-C34)*C33</f>
        <v>0.15199999999999997</v>
      </c>
    </row>
    <row r="39" spans="1:5" ht="20.100000000000001" customHeight="1">
      <c r="A39" s="118"/>
      <c r="B39" s="17" t="s">
        <v>101</v>
      </c>
      <c r="C39" s="18">
        <f>AVERAGE(C37:C38)</f>
        <v>0.14299999999999999</v>
      </c>
    </row>
    <row r="40" spans="1:5" ht="20.100000000000001" customHeight="1"/>
    <row r="41" spans="1:5" ht="20.100000000000001" customHeight="1">
      <c r="A41" s="113" t="s">
        <v>32</v>
      </c>
      <c r="B41" s="19"/>
      <c r="C41" s="20" t="s">
        <v>34</v>
      </c>
      <c r="D41" s="20" t="s">
        <v>14</v>
      </c>
      <c r="E41" s="20" t="s">
        <v>33</v>
      </c>
    </row>
    <row r="42" spans="1:5" ht="20.100000000000001" customHeight="1">
      <c r="A42" s="113"/>
      <c r="B42" s="19" t="s">
        <v>89</v>
      </c>
      <c r="C42" s="25">
        <f>C8</f>
        <v>25600000</v>
      </c>
      <c r="D42" s="21">
        <f>C42/$C$46</f>
        <v>0.25600000000000001</v>
      </c>
      <c r="E42" s="21">
        <f>C10</f>
        <v>2.9665709184327517E-2</v>
      </c>
    </row>
    <row r="43" spans="1:5" ht="19.5" customHeight="1">
      <c r="A43" s="113"/>
      <c r="B43" s="19" t="s">
        <v>17</v>
      </c>
      <c r="C43" s="25">
        <f>C16</f>
        <v>24700000</v>
      </c>
      <c r="D43" s="21">
        <f>C43/$C$46</f>
        <v>0.247</v>
      </c>
      <c r="E43" s="21">
        <f>C18</f>
        <v>3.3539909991311435E-2</v>
      </c>
    </row>
    <row r="44" spans="1:5" ht="20.100000000000001" customHeight="1">
      <c r="A44" s="113"/>
      <c r="B44" s="19" t="s">
        <v>90</v>
      </c>
      <c r="C44" s="25">
        <f>C21-C25</f>
        <v>17640000</v>
      </c>
      <c r="D44" s="21">
        <f t="shared" ref="D44:D45" si="0">C44/$C$46</f>
        <v>0.1764</v>
      </c>
      <c r="E44" s="21">
        <f>C28</f>
        <v>0.12244897959183673</v>
      </c>
    </row>
    <row r="45" spans="1:5" ht="20.100000000000001" customHeight="1" thickBot="1">
      <c r="A45" s="113"/>
      <c r="B45" s="29" t="s">
        <v>107</v>
      </c>
      <c r="C45" s="30">
        <f>C46-SUM(C42:C44)</f>
        <v>32060000</v>
      </c>
      <c r="D45" s="31">
        <f t="shared" si="0"/>
        <v>0.3206</v>
      </c>
      <c r="E45" s="21">
        <f>C37</f>
        <v>0.13400000000000001</v>
      </c>
    </row>
    <row r="46" spans="1:5" ht="20.100000000000001" customHeight="1" thickTop="1">
      <c r="A46" s="113"/>
      <c r="B46" s="26" t="s">
        <v>35</v>
      </c>
      <c r="C46" s="27">
        <v>100000000</v>
      </c>
      <c r="D46" s="28">
        <f>SUM(D42:D45)</f>
        <v>1</v>
      </c>
      <c r="E46" s="21"/>
    </row>
    <row r="47" spans="1:5" ht="20.100000000000001" customHeight="1">
      <c r="A47" s="113"/>
      <c r="B47" s="22" t="s">
        <v>106</v>
      </c>
      <c r="C47" s="22"/>
      <c r="D47" s="21"/>
      <c r="E47" s="23">
        <f>SUMPRODUCT(D43:D45,E43:E45)</f>
        <v>7.2844757767853929E-2</v>
      </c>
    </row>
    <row r="48" spans="1:5" ht="20.100000000000001" customHeight="1"/>
    <row r="49" spans="1:5" ht="20.100000000000001" customHeight="1">
      <c r="A49" s="113" t="s">
        <v>32</v>
      </c>
      <c r="B49" s="19"/>
      <c r="C49" s="20" t="s">
        <v>34</v>
      </c>
      <c r="D49" s="20" t="s">
        <v>14</v>
      </c>
      <c r="E49" s="20" t="s">
        <v>33</v>
      </c>
    </row>
    <row r="50" spans="1:5" ht="20.100000000000001" customHeight="1">
      <c r="A50" s="113"/>
      <c r="B50" s="19" t="s">
        <v>89</v>
      </c>
      <c r="C50" s="25">
        <f>C42</f>
        <v>25600000</v>
      </c>
      <c r="D50" s="21">
        <f>C50/$C$46</f>
        <v>0.25600000000000001</v>
      </c>
      <c r="E50" s="21">
        <f>E42</f>
        <v>2.9665709184327517E-2</v>
      </c>
    </row>
    <row r="51" spans="1:5">
      <c r="A51" s="113"/>
      <c r="B51" s="19" t="s">
        <v>17</v>
      </c>
      <c r="C51" s="25">
        <f>C43</f>
        <v>24700000</v>
      </c>
      <c r="D51" s="21">
        <f>C51/$C$46</f>
        <v>0.247</v>
      </c>
      <c r="E51" s="21">
        <f>E43</f>
        <v>3.3539909991311435E-2</v>
      </c>
    </row>
    <row r="52" spans="1:5">
      <c r="A52" s="113"/>
      <c r="B52" s="19" t="s">
        <v>90</v>
      </c>
      <c r="C52" s="25">
        <f>C44</f>
        <v>17640000</v>
      </c>
      <c r="D52" s="21">
        <f t="shared" ref="D52:D53" si="1">C52/$C$46</f>
        <v>0.1764</v>
      </c>
      <c r="E52" s="21">
        <f>E44</f>
        <v>0.12244897959183673</v>
      </c>
    </row>
    <row r="53" spans="1:5" ht="16.2" thickBot="1">
      <c r="A53" s="113"/>
      <c r="B53" s="29" t="s">
        <v>108</v>
      </c>
      <c r="C53" s="30">
        <f>C45</f>
        <v>32060000</v>
      </c>
      <c r="D53" s="31">
        <f t="shared" si="1"/>
        <v>0.3206</v>
      </c>
      <c r="E53" s="21">
        <f>C38</f>
        <v>0.15199999999999997</v>
      </c>
    </row>
    <row r="54" spans="1:5" ht="16.2" thickTop="1">
      <c r="A54" s="113"/>
      <c r="B54" s="26" t="s">
        <v>35</v>
      </c>
      <c r="C54" s="27">
        <f>SUM(C50:C53)</f>
        <v>100000000</v>
      </c>
      <c r="D54" s="28">
        <f>SUM(D50:D53)</f>
        <v>1</v>
      </c>
      <c r="E54" s="21"/>
    </row>
    <row r="55" spans="1:5">
      <c r="A55" s="113"/>
      <c r="B55" s="22" t="s">
        <v>109</v>
      </c>
      <c r="C55" s="22"/>
      <c r="D55" s="21"/>
      <c r="E55" s="23">
        <f>SUMPRODUCT(D51:D53,E51:E53)</f>
        <v>7.8615557767853922E-2</v>
      </c>
    </row>
  </sheetData>
  <mergeCells count="7">
    <mergeCell ref="A49:A55"/>
    <mergeCell ref="A41:A47"/>
    <mergeCell ref="A4:A10"/>
    <mergeCell ref="A1:C1"/>
    <mergeCell ref="A12:A18"/>
    <mergeCell ref="A20:A28"/>
    <mergeCell ref="A30:A39"/>
  </mergeCell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6</vt:i4>
      </vt:variant>
    </vt:vector>
  </HeadingPairs>
  <TitlesOfParts>
    <vt:vector size="6" baseType="lpstr">
      <vt:lpstr>SUBJECT 1A</vt:lpstr>
      <vt:lpstr>SUBJECT 1B</vt:lpstr>
      <vt:lpstr>SUBJECT 1C</vt:lpstr>
      <vt:lpstr>SUBJECT 2</vt:lpstr>
      <vt:lpstr>SUBJECT 2 - Q4</vt:lpstr>
      <vt:lpstr>SUBJECT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ΗΛΙΑΣ ΧΡΗΣΤΑΚΗΣ</dc:creator>
  <cp:lastModifiedBy>i.christakis</cp:lastModifiedBy>
  <cp:lastPrinted>2017-03-07T22:17:39Z</cp:lastPrinted>
  <dcterms:created xsi:type="dcterms:W3CDTF">2014-12-27T13:56:02Z</dcterms:created>
  <dcterms:modified xsi:type="dcterms:W3CDTF">2023-01-25T06:53:40Z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36423a7d-246f-444a-af50-407c60b96fff</vt:lpwstr>
  </property>
</Properties>
</file>