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F:\ELIAS\ELIAS TUTORING\EAP-TUTORS\ΤΡΑΧ 51\2021 - 2022\1st Project\"/>
    </mc:Choice>
  </mc:AlternateContent>
  <xr:revisionPtr revIDLastSave="0" documentId="13_ncr:1_{8451C32A-4FB7-4A12-972F-DB04EB2F1ADD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ΘΕΜΑ1 ΙΣΟΖΥΓΙΟ" sheetId="3" r:id="rId1"/>
    <sheet name="ΘΕΜΑ1 ΑΠΟΤΕΛΕΣΜΑΤΑ" sheetId="2" r:id="rId2"/>
    <sheet name="ΘΕΜΑ1 ΙΣΟΛΟΓΙΣΜΟΣ" sheetId="1" r:id="rId3"/>
    <sheet name="ΘΕΜΑ2" sheetId="1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E17" i="2"/>
  <c r="K31" i="16"/>
  <c r="L31" i="16"/>
  <c r="M31" i="16"/>
  <c r="N31" i="16"/>
  <c r="J31" i="16"/>
  <c r="K30" i="16"/>
  <c r="L30" i="16"/>
  <c r="M30" i="16"/>
  <c r="N30" i="16"/>
  <c r="J30" i="16"/>
  <c r="B11" i="16"/>
  <c r="C11" i="16"/>
  <c r="D11" i="16"/>
  <c r="E11" i="16"/>
  <c r="B18" i="16"/>
  <c r="C18" i="16"/>
  <c r="D18" i="16"/>
  <c r="K3" i="16" s="1"/>
  <c r="E18" i="16"/>
  <c r="L4" i="16" s="1"/>
  <c r="B20" i="16"/>
  <c r="C20" i="16"/>
  <c r="E20" i="16"/>
  <c r="L26" i="16" s="1"/>
  <c r="B27" i="16"/>
  <c r="C27" i="16"/>
  <c r="D27" i="16"/>
  <c r="K22" i="16" s="1"/>
  <c r="E27" i="16"/>
  <c r="L22" i="16" s="1"/>
  <c r="B35" i="16"/>
  <c r="C35" i="16"/>
  <c r="D35" i="16"/>
  <c r="K23" i="16" s="1"/>
  <c r="E35" i="16"/>
  <c r="L23" i="16" s="1"/>
  <c r="B42" i="16"/>
  <c r="C42" i="16"/>
  <c r="D42" i="16"/>
  <c r="E42" i="16"/>
  <c r="B44" i="16"/>
  <c r="C44" i="16"/>
  <c r="D44" i="16"/>
  <c r="E44" i="16"/>
  <c r="E45" i="16" s="1"/>
  <c r="B45" i="16"/>
  <c r="C45" i="16"/>
  <c r="B51" i="16"/>
  <c r="C51" i="16"/>
  <c r="D51" i="16"/>
  <c r="E51" i="16"/>
  <c r="E56" i="16" s="1"/>
  <c r="B56" i="16"/>
  <c r="C56" i="16"/>
  <c r="D56" i="16"/>
  <c r="K21" i="16" s="1"/>
  <c r="B58" i="16"/>
  <c r="C58" i="16"/>
  <c r="D58" i="16"/>
  <c r="B60" i="16"/>
  <c r="C60" i="16"/>
  <c r="D60" i="16"/>
  <c r="K25" i="16" s="1"/>
  <c r="C62" i="16"/>
  <c r="D62" i="16"/>
  <c r="E62" i="16"/>
  <c r="L12" i="16" s="1"/>
  <c r="L13" i="16" s="1"/>
  <c r="J3" i="16"/>
  <c r="J4" i="16"/>
  <c r="K4" i="16"/>
  <c r="J5" i="16"/>
  <c r="K5" i="16"/>
  <c r="L5" i="16"/>
  <c r="J6" i="16"/>
  <c r="K6" i="16"/>
  <c r="L6" i="16"/>
  <c r="J8" i="16"/>
  <c r="K8" i="16"/>
  <c r="L8" i="16"/>
  <c r="L9" i="16" s="1"/>
  <c r="L14" i="16" s="1"/>
  <c r="L15" i="16" s="1"/>
  <c r="M8" i="16"/>
  <c r="M9" i="16" s="1"/>
  <c r="J9" i="16"/>
  <c r="J14" i="16" s="1"/>
  <c r="K9" i="16"/>
  <c r="J10" i="16"/>
  <c r="K10" i="16"/>
  <c r="L10" i="16"/>
  <c r="M10" i="16"/>
  <c r="M11" i="16" s="1"/>
  <c r="J11" i="16"/>
  <c r="K11" i="16"/>
  <c r="L11" i="16"/>
  <c r="J12" i="16"/>
  <c r="J13" i="16" s="1"/>
  <c r="K12" i="16"/>
  <c r="K13" i="16" s="1"/>
  <c r="K14" i="16"/>
  <c r="K15" i="16" s="1"/>
  <c r="J16" i="16"/>
  <c r="J17" i="16"/>
  <c r="J19" i="16"/>
  <c r="L19" i="16"/>
  <c r="J20" i="16"/>
  <c r="J21" i="16"/>
  <c r="J22" i="16"/>
  <c r="J23" i="16"/>
  <c r="J25" i="16"/>
  <c r="J28" i="16" s="1"/>
  <c r="J26" i="16"/>
  <c r="J27" i="16"/>
  <c r="L27" i="16"/>
  <c r="J29" i="16"/>
  <c r="F62" i="16"/>
  <c r="M12" i="16" s="1"/>
  <c r="M13" i="16" s="1"/>
  <c r="G62" i="16"/>
  <c r="N12" i="16" s="1"/>
  <c r="N13" i="16" s="1"/>
  <c r="G51" i="16"/>
  <c r="G56" i="16" s="1"/>
  <c r="F51" i="16"/>
  <c r="F56" i="16" s="1"/>
  <c r="M21" i="16" s="1"/>
  <c r="F42" i="16"/>
  <c r="M5" i="16" s="1"/>
  <c r="G40" i="16"/>
  <c r="G42" i="16" s="1"/>
  <c r="F35" i="16"/>
  <c r="G31" i="16"/>
  <c r="G35" i="16" s="1"/>
  <c r="G27" i="16"/>
  <c r="F27" i="16"/>
  <c r="M22" i="16" s="1"/>
  <c r="G18" i="16"/>
  <c r="N6" i="16" s="1"/>
  <c r="F18" i="16"/>
  <c r="F11" i="16"/>
  <c r="M23" i="16" s="1"/>
  <c r="N10" i="16"/>
  <c r="N11" i="16" s="1"/>
  <c r="N8" i="16"/>
  <c r="N9" i="16" s="1"/>
  <c r="G5" i="16"/>
  <c r="G11" i="16" s="1"/>
  <c r="J15" i="16" l="1"/>
  <c r="L21" i="16"/>
  <c r="E58" i="16"/>
  <c r="E60" i="16" s="1"/>
  <c r="L20" i="16"/>
  <c r="M20" i="16"/>
  <c r="D20" i="16"/>
  <c r="N14" i="16"/>
  <c r="M4" i="16"/>
  <c r="K20" i="16"/>
  <c r="L16" i="16"/>
  <c r="L3" i="16"/>
  <c r="K29" i="16"/>
  <c r="K16" i="16"/>
  <c r="M14" i="16"/>
  <c r="M15" i="16" s="1"/>
  <c r="M3" i="16"/>
  <c r="M6" i="16"/>
  <c r="M16" i="16"/>
  <c r="F44" i="16"/>
  <c r="N15" i="16"/>
  <c r="F58" i="16"/>
  <c r="F60" i="16" s="1"/>
  <c r="N16" i="16"/>
  <c r="N5" i="16"/>
  <c r="N3" i="16"/>
  <c r="N4" i="16"/>
  <c r="N21" i="16"/>
  <c r="G58" i="16"/>
  <c r="G60" i="16" s="1"/>
  <c r="N22" i="16"/>
  <c r="G20" i="16"/>
  <c r="N20" i="16"/>
  <c r="N23" i="16"/>
  <c r="G44" i="16"/>
  <c r="F20" i="16"/>
  <c r="L25" i="16" l="1"/>
  <c r="L28" i="16" s="1"/>
  <c r="L29" i="16"/>
  <c r="L17" i="16"/>
  <c r="D45" i="16"/>
  <c r="K19" i="16"/>
  <c r="K27" i="16" s="1"/>
  <c r="K17" i="16"/>
  <c r="K26" i="16"/>
  <c r="K28" i="16" s="1"/>
  <c r="M29" i="16"/>
  <c r="M25" i="16"/>
  <c r="M17" i="16"/>
  <c r="M26" i="16"/>
  <c r="M19" i="16"/>
  <c r="M27" i="16" s="1"/>
  <c r="N29" i="16"/>
  <c r="N25" i="16"/>
  <c r="N26" i="16"/>
  <c r="N19" i="16"/>
  <c r="N27" i="16" s="1"/>
  <c r="G45" i="16"/>
  <c r="F45" i="16"/>
  <c r="N17" i="16"/>
  <c r="M28" i="16" l="1"/>
  <c r="N28" i="16"/>
  <c r="B38" i="1" l="1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M30" i="1"/>
  <c r="J29" i="1"/>
  <c r="J30" i="1" s="1"/>
  <c r="J25" i="1"/>
  <c r="M24" i="1"/>
  <c r="J24" i="1"/>
  <c r="I23" i="1"/>
  <c r="M22" i="1"/>
  <c r="I22" i="1"/>
  <c r="M21" i="1"/>
  <c r="J21" i="1"/>
  <c r="M20" i="1"/>
  <c r="J20" i="1"/>
  <c r="J16" i="1"/>
  <c r="I13" i="1"/>
  <c r="M12" i="1"/>
  <c r="M13" i="1" s="1"/>
  <c r="I12" i="1"/>
  <c r="J14" i="1" s="1"/>
  <c r="I10" i="1"/>
  <c r="I9" i="1"/>
  <c r="M8" i="1"/>
  <c r="J8" i="1"/>
  <c r="M5" i="1"/>
  <c r="M4" i="1"/>
  <c r="J4" i="1"/>
  <c r="J5" i="1" s="1"/>
  <c r="J56" i="3"/>
  <c r="K74" i="3"/>
  <c r="K72" i="3"/>
  <c r="K71" i="3"/>
  <c r="K70" i="3"/>
  <c r="K69" i="3"/>
  <c r="J68" i="3"/>
  <c r="K65" i="3"/>
  <c r="K64" i="3"/>
  <c r="J63" i="3"/>
  <c r="J62" i="3"/>
  <c r="J61" i="3"/>
  <c r="K60" i="3"/>
  <c r="J59" i="3"/>
  <c r="J58" i="3"/>
  <c r="J57" i="3"/>
  <c r="J55" i="3"/>
  <c r="K54" i="3"/>
  <c r="K53" i="3"/>
  <c r="J52" i="3"/>
  <c r="J51" i="3"/>
  <c r="J50" i="3"/>
  <c r="L12" i="3"/>
  <c r="J30" i="3"/>
  <c r="E4" i="2" s="1"/>
  <c r="E15" i="2"/>
  <c r="E14" i="2"/>
  <c r="E13" i="2"/>
  <c r="E11" i="2"/>
  <c r="E10" i="2"/>
  <c r="E9" i="2"/>
  <c r="E8" i="2"/>
  <c r="E7" i="2"/>
  <c r="E6" i="2"/>
  <c r="D4" i="2"/>
  <c r="E3" i="2"/>
  <c r="D3" i="2"/>
  <c r="K28" i="3"/>
  <c r="K8" i="3"/>
  <c r="K7" i="3"/>
  <c r="J32" i="3"/>
  <c r="J31" i="3"/>
  <c r="K42" i="3"/>
  <c r="F21" i="1"/>
  <c r="F22" i="1"/>
  <c r="F24" i="1"/>
  <c r="F20" i="1"/>
  <c r="F12" i="1"/>
  <c r="F8" i="1"/>
  <c r="F5" i="1"/>
  <c r="F4" i="1"/>
  <c r="C29" i="1"/>
  <c r="C25" i="1"/>
  <c r="C24" i="1"/>
  <c r="B23" i="1"/>
  <c r="B22" i="1"/>
  <c r="C21" i="1"/>
  <c r="C20" i="1"/>
  <c r="C16" i="1"/>
  <c r="B13" i="1"/>
  <c r="B12" i="1"/>
  <c r="B10" i="1"/>
  <c r="B9" i="1"/>
  <c r="C8" i="1"/>
  <c r="C4" i="1"/>
  <c r="J23" i="1" l="1"/>
  <c r="J11" i="1"/>
  <c r="J26" i="1"/>
  <c r="J15" i="1"/>
  <c r="J17" i="1" s="1"/>
  <c r="E5" i="2"/>
  <c r="E12" i="2" s="1"/>
  <c r="J90" i="3"/>
  <c r="E16" i="2"/>
  <c r="C23" i="1"/>
  <c r="C26" i="1" s="1"/>
  <c r="E74" i="3"/>
  <c r="E72" i="3"/>
  <c r="E71" i="3"/>
  <c r="E70" i="3"/>
  <c r="E69" i="3"/>
  <c r="D68" i="3"/>
  <c r="E65" i="3"/>
  <c r="E64" i="3"/>
  <c r="D63" i="3"/>
  <c r="D62" i="3"/>
  <c r="D61" i="3"/>
  <c r="E60" i="3"/>
  <c r="D59" i="3"/>
  <c r="D58" i="3"/>
  <c r="D57" i="3"/>
  <c r="D55" i="3"/>
  <c r="E54" i="3"/>
  <c r="E53" i="3"/>
  <c r="D52" i="3"/>
  <c r="D90" i="3" s="1"/>
  <c r="D51" i="3"/>
  <c r="D50" i="3"/>
  <c r="B14" i="2"/>
  <c r="B11" i="2"/>
  <c r="B8" i="2"/>
  <c r="B6" i="2"/>
  <c r="B4" i="2"/>
  <c r="A4" i="2"/>
  <c r="A3" i="2"/>
  <c r="J44" i="3"/>
  <c r="F13" i="1"/>
  <c r="C5" i="1"/>
  <c r="C30" i="1"/>
  <c r="B15" i="2"/>
  <c r="B13" i="2"/>
  <c r="B10" i="2"/>
  <c r="B9" i="2"/>
  <c r="B7" i="2"/>
  <c r="B3" i="2"/>
  <c r="F30" i="1"/>
  <c r="E44" i="3"/>
  <c r="D44" i="3"/>
  <c r="J33" i="1" l="1"/>
  <c r="E18" i="2"/>
  <c r="K75" i="3"/>
  <c r="M25" i="1" s="1"/>
  <c r="E20" i="2"/>
  <c r="E21" i="2" s="1"/>
  <c r="K73" i="3" s="1"/>
  <c r="B5" i="2"/>
  <c r="B12" i="2" s="1"/>
  <c r="B16" i="2" s="1"/>
  <c r="C11" i="1"/>
  <c r="C14" i="1"/>
  <c r="E45" i="3"/>
  <c r="L58" i="3" l="1"/>
  <c r="M23" i="1"/>
  <c r="M26" i="1" s="1"/>
  <c r="E41" i="2"/>
  <c r="M68" i="1"/>
  <c r="M69" i="1" s="1"/>
  <c r="I52" i="1"/>
  <c r="J64" i="1"/>
  <c r="I62" i="1"/>
  <c r="J60" i="1"/>
  <c r="I48" i="1"/>
  <c r="J55" i="1"/>
  <c r="J59" i="1"/>
  <c r="M44" i="1"/>
  <c r="M63" i="1"/>
  <c r="J68" i="1"/>
  <c r="J69" i="1" s="1"/>
  <c r="M64" i="1"/>
  <c r="M60" i="1"/>
  <c r="I61" i="1"/>
  <c r="M47" i="1"/>
  <c r="J43" i="1"/>
  <c r="J44" i="1" s="1"/>
  <c r="M51" i="1"/>
  <c r="M52" i="1" s="1"/>
  <c r="I51" i="1"/>
  <c r="M62" i="1"/>
  <c r="M43" i="1"/>
  <c r="J63" i="1"/>
  <c r="M59" i="1"/>
  <c r="M65" i="1" s="1"/>
  <c r="I49" i="1"/>
  <c r="J47" i="1"/>
  <c r="M61" i="1"/>
  <c r="C15" i="1"/>
  <c r="C17" i="1" s="1"/>
  <c r="C33" i="1" s="1"/>
  <c r="B17" i="2"/>
  <c r="E75" i="3" s="1"/>
  <c r="F25" i="1" s="1"/>
  <c r="I36" i="1" l="1"/>
  <c r="I37" i="1"/>
  <c r="J50" i="1"/>
  <c r="J53" i="1"/>
  <c r="J54" i="1" s="1"/>
  <c r="J56" i="1" s="1"/>
  <c r="J72" i="1" s="1"/>
  <c r="F68" i="1"/>
  <c r="F69" i="1" s="1"/>
  <c r="F51" i="1"/>
  <c r="F52" i="1" s="1"/>
  <c r="C63" i="1"/>
  <c r="B49" i="1"/>
  <c r="F44" i="1"/>
  <c r="C59" i="1"/>
  <c r="C43" i="1"/>
  <c r="C44" i="1" s="1"/>
  <c r="F47" i="1"/>
  <c r="F63" i="1"/>
  <c r="C68" i="1"/>
  <c r="C69" i="1" s="1"/>
  <c r="C55" i="1"/>
  <c r="B61" i="1"/>
  <c r="C62" i="1" s="1"/>
  <c r="C65" i="1" s="1"/>
  <c r="F59" i="1"/>
  <c r="B51" i="1"/>
  <c r="F61" i="1"/>
  <c r="C47" i="1"/>
  <c r="F60" i="1"/>
  <c r="B62" i="1"/>
  <c r="C64" i="1"/>
  <c r="B48" i="1"/>
  <c r="C50" i="1" s="1"/>
  <c r="C60" i="1"/>
  <c r="B52" i="1"/>
  <c r="F43" i="1"/>
  <c r="F64" i="1"/>
  <c r="J62" i="1"/>
  <c r="J65" i="1" s="1"/>
  <c r="B18" i="2"/>
  <c r="C53" i="1" l="1"/>
  <c r="C54" i="1" s="1"/>
  <c r="C56" i="1" s="1"/>
  <c r="C72" i="1" s="1"/>
  <c r="B20" i="2"/>
  <c r="B21" i="2" l="1"/>
  <c r="E66" i="3"/>
  <c r="F6" i="1" l="1"/>
  <c r="F45" i="1" s="1"/>
  <c r="K20" i="3"/>
  <c r="E73" i="3"/>
  <c r="F23" i="1" s="1"/>
  <c r="E67" i="3"/>
  <c r="F26" i="1" l="1"/>
  <c r="F62" i="1"/>
  <c r="F65" i="1" s="1"/>
  <c r="B36" i="1"/>
  <c r="B37" i="1"/>
  <c r="K66" i="3"/>
  <c r="K21" i="3"/>
  <c r="K67" i="3" s="1"/>
  <c r="M7" i="1" s="1"/>
  <c r="M46" i="1" s="1"/>
  <c r="F7" i="1"/>
  <c r="E90" i="3"/>
  <c r="E91" i="3" s="1"/>
  <c r="K90" i="3" l="1"/>
  <c r="K91" i="3" s="1"/>
  <c r="M6" i="1"/>
  <c r="F9" i="1"/>
  <c r="F33" i="1" s="1"/>
  <c r="F35" i="1" s="1"/>
  <c r="F46" i="1"/>
  <c r="F48" i="1" s="1"/>
  <c r="F72" i="1" s="1"/>
  <c r="K44" i="3"/>
  <c r="K45" i="3" s="1"/>
  <c r="M9" i="1" l="1"/>
  <c r="M45" i="1"/>
  <c r="M48" i="1" s="1"/>
  <c r="M72" i="1" s="1"/>
  <c r="M33" i="1" l="1"/>
  <c r="M35" i="1" s="1"/>
  <c r="I38" i="1"/>
</calcChain>
</file>

<file path=xl/sharedStrings.xml><?xml version="1.0" encoding="utf-8"?>
<sst xmlns="http://schemas.openxmlformats.org/spreadsheetml/2006/main" count="836" uniqueCount="195">
  <si>
    <t>Χρεωστικό Υπόλοιπο</t>
  </si>
  <si>
    <t>Πιστωτικό Υπόλοιπο</t>
  </si>
  <si>
    <t>Γραμμάτια Εισπρακτέα</t>
  </si>
  <si>
    <t>Λογαριασμός</t>
  </si>
  <si>
    <t>Προεισπραχθέντα Έσοδα</t>
  </si>
  <si>
    <t>Ενοίκια</t>
  </si>
  <si>
    <t>Πελάτες</t>
  </si>
  <si>
    <t>Γραμμάτια Πληρωτέα</t>
  </si>
  <si>
    <t>Συμμετοχές</t>
  </si>
  <si>
    <t>Οικόπεδο</t>
  </si>
  <si>
    <t>ΣΥΝΟΛΑ</t>
  </si>
  <si>
    <t>Οικόπεδα</t>
  </si>
  <si>
    <t>Σύνολο Άυλων Παγίων Στοιχείων</t>
  </si>
  <si>
    <t>Άυλα Πάγια Στοιχεία</t>
  </si>
  <si>
    <t>Σύνολο Παγίων Ακινητοποιήσεων</t>
  </si>
  <si>
    <t>Σύνολο Μη Κυκλοφορούντος Ενεργητικού</t>
  </si>
  <si>
    <t>Κυκλοφορούν Ενεργητικό</t>
  </si>
  <si>
    <t>Σύνολο Κυκλοφορούντος Ενεργητικού</t>
  </si>
  <si>
    <t>Μεταβατικοί Λογαριασμοί Ενεργητικού</t>
  </si>
  <si>
    <t>Σύνολο Ενεργητικού</t>
  </si>
  <si>
    <t>Ίδια Κεφάλαια</t>
  </si>
  <si>
    <t>Αποτελέσματα εις νέο</t>
  </si>
  <si>
    <t>Σύνολο Ιδίων Κεφαλαίων</t>
  </si>
  <si>
    <t>Μακροπρόθεσμα Δάνεια &amp; Υποχρεώσεις</t>
  </si>
  <si>
    <t>Σύνολο Μακροπρόθεσμων Δανείων &amp; Υποχρεώσεων</t>
  </si>
  <si>
    <t>Βραχυπρόθεσμες Υποχρεώσεις</t>
  </si>
  <si>
    <t>Σύνολο Βραχυπρόθεσμων Υποχρεώσεων</t>
  </si>
  <si>
    <t>Μεταβατικοί Λογαριασμοί Παθητικού</t>
  </si>
  <si>
    <t>Σύνολο Μεταβατικών Λογαριασμών Παθητικού</t>
  </si>
  <si>
    <t>Αποσβέσεις</t>
  </si>
  <si>
    <t>Αμοιβές &amp; Έξοδα Προσωπικού</t>
  </si>
  <si>
    <t>Κέρδη προ Φόρων</t>
  </si>
  <si>
    <t>Καθαρά Κέρδη</t>
  </si>
  <si>
    <t>Ενεργητικό</t>
  </si>
  <si>
    <t>Παθητικο</t>
  </si>
  <si>
    <t>Έξοδα</t>
  </si>
  <si>
    <t>Έσοδα</t>
  </si>
  <si>
    <t>Σύνολο Μεταβατικών Λογαριασμών Ενεργητικού</t>
  </si>
  <si>
    <t>ΕΜΠΟΡΙΟ Α.Ε.</t>
  </si>
  <si>
    <t>Κατηγορία 1</t>
  </si>
  <si>
    <t>Κατηγορία 2</t>
  </si>
  <si>
    <t>Ενσώματα Πάγια</t>
  </si>
  <si>
    <t>Κτίρια</t>
  </si>
  <si>
    <t>Έπιπλα &amp; Λοιπός Εξοπλισμός</t>
  </si>
  <si>
    <t>Αποσβεσμένα Έπιπλα &amp; Λοιπός Εξοπλισμός</t>
  </si>
  <si>
    <t>Εμπορικό Σήμα</t>
  </si>
  <si>
    <t>Άυλα Πάγια</t>
  </si>
  <si>
    <t>Κυκλοφορούν</t>
  </si>
  <si>
    <t>Βραχυπρόθεσμες Επενδύσεις (Χρεόγραφα)</t>
  </si>
  <si>
    <t>Ταμειακά Διαθέσιμα</t>
  </si>
  <si>
    <t>Μεταβατικοί Λογαριασμοί</t>
  </si>
  <si>
    <t>Προπληρωμένα Έξοδα</t>
  </si>
  <si>
    <t>Μακροπρόθεσμο</t>
  </si>
  <si>
    <t>Μακροπρόθεσμα Δάνεια Πληρωτέα</t>
  </si>
  <si>
    <t>Βραχυπρόθεσμο</t>
  </si>
  <si>
    <t>Μισθοί Πληρωτέοι</t>
  </si>
  <si>
    <t>Αμοιβές Τρίτων</t>
  </si>
  <si>
    <t>Αποσβέσεις Κτιρίων</t>
  </si>
  <si>
    <t>Αποσβέσεις Επίπλων &amp; Λοιπού Εξοπλισμού</t>
  </si>
  <si>
    <t>Λειτουργικά</t>
  </si>
  <si>
    <t>Μη Λειτουργικά &amp; Έκτακτα</t>
  </si>
  <si>
    <t>Ζημιές από πώληση Παγίων</t>
  </si>
  <si>
    <t>Μη Λειτουργικά</t>
  </si>
  <si>
    <t>Κέρδη από πώληση Χρεωγράφων</t>
  </si>
  <si>
    <t>Αναλώσεις Υλικών</t>
  </si>
  <si>
    <t>Άλλα Λειτουργικά Έξοδα</t>
  </si>
  <si>
    <t>Κέρδη από Πώληση Χρεογράφων</t>
  </si>
  <si>
    <t>Ζημιές από Πώληση Παγίων</t>
  </si>
  <si>
    <t>Ενσώματα Πάγια Στοιχεία</t>
  </si>
  <si>
    <t>Αποσβεσθέντα Έπιπλα &amp; Λοιπός Εξοπλισμός</t>
  </si>
  <si>
    <t>Έπιπλα &amp; Λοιπός Εξοπλισμός (Αξία Κτήσης)</t>
  </si>
  <si>
    <t>Χρεόγραφα</t>
  </si>
  <si>
    <t>Ταμείο &amp; Ταμειακά Ισοδύναμα</t>
  </si>
  <si>
    <t>Σύνολο Παθητικού &amp; Ιδίων Κεφαλαίων</t>
  </si>
  <si>
    <t>Κτίρια (Αξία Κτήσης)</t>
  </si>
  <si>
    <t>Αποσβεσθέντα Κτίρια</t>
  </si>
  <si>
    <t>Εμπορεύματα</t>
  </si>
  <si>
    <t>Προμηθευτές</t>
  </si>
  <si>
    <t>Αμοιβές Προσωπικού</t>
  </si>
  <si>
    <t>Πωλήσεις</t>
  </si>
  <si>
    <t>Χρεωστικοί Τόκοι</t>
  </si>
  <si>
    <t>Διάφορα Γενικά Έξοδα</t>
  </si>
  <si>
    <t>Κόστος Πωληθέντων</t>
  </si>
  <si>
    <t>Αποσβεσμένα Κτίρια</t>
  </si>
  <si>
    <t>ΠΡΟΣΑΡΜΟΣΜΕΝΟ ΙΣΟΖΥΓΙΟ 31.12.2019</t>
  </si>
  <si>
    <t>Γραμμάτια Προεξοφλημένα</t>
  </si>
  <si>
    <t>Καταβλημένο Μετοχικό Κεφάλαιο</t>
  </si>
  <si>
    <t>Μετοχικό Κεφάλαιο Υπέρ το Άρτιο</t>
  </si>
  <si>
    <t>Τακτικό Αποθεματικό</t>
  </si>
  <si>
    <t>Αποτελέσματα εις Νέον</t>
  </si>
  <si>
    <t>Μακροπρόθεσμα Δάνεια</t>
  </si>
  <si>
    <t>Μερίσματα Πληρωτέα</t>
  </si>
  <si>
    <t>Ασφαλιστικές Εισφορές Πληρωτέες</t>
  </si>
  <si>
    <t>Φόροι Πληρωτέοι</t>
  </si>
  <si>
    <t>Ίδιες Μετοχές</t>
  </si>
  <si>
    <t>Εργοδοτικές Εισφορές</t>
  </si>
  <si>
    <t>ΠΡΟΣΑΡΜΟΣΜΕΝΟ ΙΣΟΖΥΓΙΟ 31.12.2020</t>
  </si>
  <si>
    <t>ΑΠΟΤΕΛΕΣΜΑΤΑ ΧΡΗΣΗΣ 1.1.2019 έως 31.12.2019</t>
  </si>
  <si>
    <t>Χρηματοοικονομικά</t>
  </si>
  <si>
    <t>Έξοδα Προεξόφλησης</t>
  </si>
  <si>
    <t>ΙΣΟΛΟΓΙΣΜΟΣ 31.12.2019</t>
  </si>
  <si>
    <t>Φόρος @ 25%</t>
  </si>
  <si>
    <t>Μεικτό Κέρδος</t>
  </si>
  <si>
    <t>Έξοδα διάθεσης</t>
  </si>
  <si>
    <t>Κέρδη προ Τόκων και Φόρων</t>
  </si>
  <si>
    <t>Χρεωστικοί Τόκοι &amp; Έξοδα Τραπεζών</t>
  </si>
  <si>
    <t>ΟΡΙΣΤΙΚΟ ΙΣΟΖΥΓΙΟ 31.12.2019</t>
  </si>
  <si>
    <t>Μέρισμα</t>
  </si>
  <si>
    <t>Μείον: Γραμμάτια Προεξοφληθέντα</t>
  </si>
  <si>
    <t>Καταβλημένο Κεφάλαιο</t>
  </si>
  <si>
    <t>Υπέρ το Άρτιο</t>
  </si>
  <si>
    <t>Μείον: Ίδιες Μετοχές</t>
  </si>
  <si>
    <t>Γενική Ρευστότητα</t>
  </si>
  <si>
    <t>Ειδική Ρευστότητα</t>
  </si>
  <si>
    <t>ΑΠΟΤΕΛΕΣΜΑΤΑ ΧΡΗΣΗΣ 1.1.2020 έως 31.12.2020</t>
  </si>
  <si>
    <t>ΟΡΙΣΤΙΚΟ ΙΣΟΖΥΓΙΟ 31.12.2020</t>
  </si>
  <si>
    <t>ΙΣΟΛΟΓΙΣΜΟΣ 31.12.2020</t>
  </si>
  <si>
    <t>Κ.Α.Χ. ΚΟΙΝΟΥ ΜΕΓΕΘΟΥΣ</t>
  </si>
  <si>
    <t>ΙΣΟΛΟΓΙΣΜΟΣ ΚΟΙΝΟΥ ΜΕΓΕΘΟΥΣ 31.12.2019</t>
  </si>
  <si>
    <t>ΙΣΟΛΟΓΙΣΜΟΣ ΚΟΙΝΟΥ ΜΕΓΕΘΟΥΣ 31.12.2020</t>
  </si>
  <si>
    <t>ROE</t>
  </si>
  <si>
    <t>Λοιπές μακροπρόθεσμες απαιτήσεις</t>
  </si>
  <si>
    <t>ΣΥΝΟΛΟ ΜΗ ΚΥΚΛΟΦΟΡΟΥΝΤΟΣ ΕΝΕΡΓΗΤΙΚΟΥ</t>
  </si>
  <si>
    <t>Αποθέματα</t>
  </si>
  <si>
    <t>ΣΥΝΟΛΟ ΚΥΚΛΟΦΟΡΟΥΝΤΟΣ ΕΝΕΡΓΗΤΙΚΟΥ</t>
  </si>
  <si>
    <t>ΣΥΝΟΛΟ ΙΔΙΩΝ ΚΕΦΑΛΑΙΩΝ</t>
  </si>
  <si>
    <t>Επιχορηγήσεις</t>
  </si>
  <si>
    <t>Φόροι πληρωτέοι</t>
  </si>
  <si>
    <t>Λοιπά αποθεματικά</t>
  </si>
  <si>
    <t>Αποτελέσματα εις νέον</t>
  </si>
  <si>
    <t>Προμηθευτές και λοιπές υποχρεώσεις</t>
  </si>
  <si>
    <t>Φόρος εισοδήματος</t>
  </si>
  <si>
    <t>Γενική ρευστότητα</t>
  </si>
  <si>
    <t>Ειδική ρευστότητα</t>
  </si>
  <si>
    <t>Ταμειακή ρευστότητα</t>
  </si>
  <si>
    <t>Αμυντικό διάστημα</t>
  </si>
  <si>
    <t>Κυκλοφοριακή ταχύτητα αποθεμάτων</t>
  </si>
  <si>
    <t>Διάρκεια παραμονής αποθεμάτων</t>
  </si>
  <si>
    <t>Κυκλοφοριακή ταχύτητα απαιτήσεων</t>
  </si>
  <si>
    <t>Διάρκεια παραμονής απαιτήσεων</t>
  </si>
  <si>
    <t>Κυκλοφοριακή ταχύτητα πληρωτέων λογαριασμών</t>
  </si>
  <si>
    <t>Διάρκεια παραμονής πληρωτέων λογαριασμών</t>
  </si>
  <si>
    <t>Λειτουργικός κύκλος</t>
  </si>
  <si>
    <t>Ταμειακός κύκλος</t>
  </si>
  <si>
    <t>Ταχύτητα κυκλοφορίας καθαρού κεφαλαίου κίνησης</t>
  </si>
  <si>
    <t>Κυκλοφοριακή ταχύτητα ενεργητικού</t>
  </si>
  <si>
    <t>Ίδια προς συνολικά κεφάλαια</t>
  </si>
  <si>
    <t>Ίδια προς ξένα κεφάλαια</t>
  </si>
  <si>
    <t>Κάλυψη τόκων</t>
  </si>
  <si>
    <t>Ίδια κεφάλαια προς Πάγια</t>
  </si>
  <si>
    <t>Μακροπρόθεσμες υποχρεώσεις προς Πάγια</t>
  </si>
  <si>
    <t>Καθαρό περιθώριο κέρδους</t>
  </si>
  <si>
    <t>Μόχλευση</t>
  </si>
  <si>
    <t>ΟΙΚΟΝΟΜΙΚΕΣ ΚΑΤΑΣΤΑΣΕΙΣ ΜΕΒΓΑΛ Α.Ε.</t>
  </si>
  <si>
    <t>ΕΝΕΡΓΗΤΙΚΟ (ποσά σε χιλ. €)</t>
  </si>
  <si>
    <t>Α. ΜΗ ΚΥΚΛΟΦΟΡΟΥΝ ΕΝΕΡΓΗΤΙΚΟ</t>
  </si>
  <si>
    <t>Ενσώματα πάγια στοιχεία</t>
  </si>
  <si>
    <t>Ασώματα πάγια στοιχεία</t>
  </si>
  <si>
    <t>Επενδύσεις σε θυγατρικές επιχειρήσεις</t>
  </si>
  <si>
    <t>Επενδύσεις σε συγγενείς εταιρείες</t>
  </si>
  <si>
    <t>Διαθέσιμα προς πώληση χρηματοοικονομικά στοιχεία</t>
  </si>
  <si>
    <t>Αναβαλλόμενες φορολογικές απαιτήσεις</t>
  </si>
  <si>
    <t>Β. ΚΥΚΛΟΦΟΡΟΥΝ ΕΝΕΡΓΗΤΙΚΟ</t>
  </si>
  <si>
    <t>Εμπορικές και λοιπές απαιτήσεις</t>
  </si>
  <si>
    <t>Χρηματοοικονομικά στοιχεία στην εύλογη αξία</t>
  </si>
  <si>
    <t>Χρηματικά διαθέσιμα</t>
  </si>
  <si>
    <t>ΣΥΝΟΛΟ ΕΝΕΡΓΗΤΙΚΟΥ</t>
  </si>
  <si>
    <t>ΠΑΘΗΤΙΚΟ (ποσά σε χιλ. €)</t>
  </si>
  <si>
    <t>Α. ΙΔΙΑ ΚΕΦΑΛΑΙΑ</t>
  </si>
  <si>
    <t>Μετοχικό κεφάλαιο</t>
  </si>
  <si>
    <t>Β1. ΜΑΚΡΟΠΡΟΘΕΣΜΕΣ ΥΠΟΧΡΕΩΣΕΙΣ</t>
  </si>
  <si>
    <t>Υποχρεώσεις παροχών προσωπικού λόγω εξόδου</t>
  </si>
  <si>
    <t>Μακροπρόθεσμες δανειακές υποχρεώσεις</t>
  </si>
  <si>
    <t>Αναβαλλόμενες φορολογικές υποχρεώσεις</t>
  </si>
  <si>
    <t>Λοιπές μακροπρόθεσμες προβλέψεις</t>
  </si>
  <si>
    <t>ΣΥΝΟΛΟ ΜΑΚΡΟΠΡΟΘΕΣΜΩΝ ΥΠΟΧΡΕΩΣΕΩΝ</t>
  </si>
  <si>
    <t>Β2. ΒΡΑΧΥΠΡΟΘΕΣΜΕΣ ΥΠΟΧΡΕΩΣΕΙΣ</t>
  </si>
  <si>
    <t>Μακροπρόθεσμες υποχρεώσεις πληρωτέες στην επόμενη χρήση</t>
  </si>
  <si>
    <t>Βραχυπρόθεσμα δάνεια &amp; χρηματοδοτικές μισθώσεις</t>
  </si>
  <si>
    <t>ΣΥΝΟΛΟ ΒΡΑΧΥΠΡΟΘΕΣΜΩΝ ΥΠΟΧΡΕΩΣΕΩΝ</t>
  </si>
  <si>
    <t>ΣΥΝΟΛΟ ΠΑΘΗΤΙΚΟΥ</t>
  </si>
  <si>
    <t>Κατάσταση Αποτελεσμάτων Χρήσεεως (ποσά σε χιλ. €)</t>
  </si>
  <si>
    <t xml:space="preserve">Πωλήσεις </t>
  </si>
  <si>
    <t xml:space="preserve">Κόστος πωληθέντων </t>
  </si>
  <si>
    <t>Μικτό Αποτέλεσμα περιόδου</t>
  </si>
  <si>
    <t>Λοιπά έσοδα εκμετάλλευσης</t>
  </si>
  <si>
    <t>Έξοδα διοίκησης &amp; διάθεσης</t>
  </si>
  <si>
    <t>Λοιπά Έξοδα εκμετάλλευσης</t>
  </si>
  <si>
    <t>Κέρδη (Ζημιές) συμμετοχών</t>
  </si>
  <si>
    <t xml:space="preserve">Μερικό αποτέλεσμα εκμετάλλευσης </t>
  </si>
  <si>
    <t>Χρηματοοικονομικά έσοδα (έξοδα)</t>
  </si>
  <si>
    <t>Αποτέλεσμα προ φόρων</t>
  </si>
  <si>
    <t xml:space="preserve">Αποτέλεσμα Χρήσης </t>
  </si>
  <si>
    <t>Αγορές αποθεμάτων</t>
  </si>
  <si>
    <t>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</si>
</sst>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(#,##0.00\)"/>
    <numFmt numFmtId="165" formatCode="#,##0.00\ [$€-1]_);[Red]\(#,##0.00\ [$€-1]\)"/>
    <numFmt numFmtId="166" formatCode="#,##0.00\ [$€-1];[Red]#,##0.00\ [$€-1]"/>
    <numFmt numFmtId="167" formatCode="#,##0.0;[Red]\(#,##0.0\)"/>
    <numFmt numFmtId="168" formatCode="0.0%"/>
    <numFmt numFmtId="169" formatCode="0_ ;[Red]\-0\ "/>
    <numFmt numFmtId="170" formatCode="#,##0.00_ ;[Red]\-#,##0.00\ "/>
    <numFmt numFmtId="171" formatCode="#,##0_ ;[Red]\-#,##0\ "/>
  </numFmts>
  <fonts count="13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b/>
      <sz val="12"/>
      <color rgb="FFE2EFDA"/>
      <name val="Calibri"/>
      <family val="2"/>
      <charset val="161"/>
    </font>
    <font>
      <sz val="12"/>
      <color rgb="FFE2EFDA"/>
      <name val="Calibri"/>
      <family val="2"/>
      <charset val="161"/>
    </font>
    <font>
      <b/>
      <i/>
      <sz val="12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Fill="1"/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49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5" fontId="5" fillId="0" borderId="1" xfId="0" applyNumberFormat="1" applyFont="1" applyFill="1" applyBorder="1"/>
    <xf numFmtId="165" fontId="5" fillId="0" borderId="7" xfId="0" applyNumberFormat="1" applyFont="1" applyFill="1" applyBorder="1"/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165" fontId="4" fillId="0" borderId="11" xfId="0" applyNumberFormat="1" applyFont="1" applyFill="1" applyBorder="1"/>
    <xf numFmtId="165" fontId="4" fillId="0" borderId="13" xfId="0" applyNumberFormat="1" applyFont="1" applyFill="1" applyBorder="1"/>
    <xf numFmtId="49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166" fontId="5" fillId="0" borderId="0" xfId="0" applyNumberFormat="1" applyFont="1" applyFill="1"/>
    <xf numFmtId="49" fontId="5" fillId="0" borderId="0" xfId="0" applyNumberFormat="1" applyFont="1" applyFill="1" applyAlignment="1"/>
    <xf numFmtId="0" fontId="5" fillId="0" borderId="0" xfId="0" applyFont="1"/>
    <xf numFmtId="0" fontId="5" fillId="0" borderId="8" xfId="0" applyFont="1" applyBorder="1"/>
    <xf numFmtId="165" fontId="5" fillId="0" borderId="9" xfId="0" applyNumberFormat="1" applyFont="1" applyBorder="1"/>
    <xf numFmtId="164" fontId="5" fillId="0" borderId="0" xfId="0" applyNumberFormat="1" applyFont="1" applyBorder="1"/>
    <xf numFmtId="165" fontId="5" fillId="0" borderId="7" xfId="0" applyNumberFormat="1" applyFont="1" applyBorder="1"/>
    <xf numFmtId="0" fontId="6" fillId="0" borderId="8" xfId="0" applyFont="1" applyBorder="1"/>
    <xf numFmtId="165" fontId="6" fillId="0" borderId="9" xfId="0" applyNumberFormat="1" applyFont="1" applyBorder="1"/>
    <xf numFmtId="0" fontId="6" fillId="0" borderId="8" xfId="0" applyFont="1" applyFill="1" applyBorder="1"/>
    <xf numFmtId="0" fontId="5" fillId="0" borderId="8" xfId="0" applyFont="1" applyFill="1" applyBorder="1"/>
    <xf numFmtId="10" fontId="5" fillId="0" borderId="0" xfId="313" applyNumberFormat="1" applyFont="1" applyBorder="1"/>
    <xf numFmtId="0" fontId="4" fillId="0" borderId="10" xfId="0" applyFont="1" applyBorder="1"/>
    <xf numFmtId="165" fontId="4" fillId="0" borderId="13" xfId="0" applyNumberFormat="1" applyFont="1" applyBorder="1"/>
    <xf numFmtId="0" fontId="4" fillId="0" borderId="0" xfId="0" applyFont="1" applyBorder="1" applyAlignment="1">
      <alignment horizontal="center"/>
    </xf>
    <xf numFmtId="165" fontId="5" fillId="0" borderId="0" xfId="0" applyNumberFormat="1" applyFont="1" applyBorder="1"/>
    <xf numFmtId="0" fontId="5" fillId="0" borderId="2" xfId="0" applyFont="1" applyBorder="1"/>
    <xf numFmtId="0" fontId="6" fillId="0" borderId="0" xfId="0" applyFont="1" applyBorder="1"/>
    <xf numFmtId="0" fontId="5" fillId="0" borderId="0" xfId="0" applyFont="1" applyBorder="1"/>
    <xf numFmtId="165" fontId="6" fillId="0" borderId="0" xfId="0" applyNumberFormat="1" applyFont="1" applyBorder="1"/>
    <xf numFmtId="165" fontId="5" fillId="0" borderId="15" xfId="0" applyNumberFormat="1" applyFont="1" applyBorder="1"/>
    <xf numFmtId="165" fontId="5" fillId="0" borderId="1" xfId="0" applyNumberFormat="1" applyFont="1" applyBorder="1"/>
    <xf numFmtId="0" fontId="7" fillId="0" borderId="8" xfId="0" applyFont="1" applyBorder="1"/>
    <xf numFmtId="165" fontId="7" fillId="0" borderId="0" xfId="0" applyNumberFormat="1" applyFont="1" applyBorder="1"/>
    <xf numFmtId="165" fontId="5" fillId="0" borderId="14" xfId="0" applyNumberFormat="1" applyFont="1" applyBorder="1"/>
    <xf numFmtId="165" fontId="5" fillId="0" borderId="19" xfId="0" applyNumberFormat="1" applyFont="1" applyBorder="1"/>
    <xf numFmtId="0" fontId="4" fillId="0" borderId="8" xfId="0" applyFont="1" applyBorder="1"/>
    <xf numFmtId="165" fontId="4" fillId="0" borderId="0" xfId="0" applyNumberFormat="1" applyFont="1" applyBorder="1"/>
    <xf numFmtId="165" fontId="4" fillId="0" borderId="14" xfId="0" applyNumberFormat="1" applyFont="1" applyBorder="1"/>
    <xf numFmtId="0" fontId="4" fillId="0" borderId="0" xfId="0" applyFont="1" applyBorder="1"/>
    <xf numFmtId="165" fontId="4" fillId="0" borderId="15" xfId="0" applyNumberFormat="1" applyFont="1" applyBorder="1"/>
    <xf numFmtId="0" fontId="5" fillId="0" borderId="10" xfId="0" applyFont="1" applyBorder="1"/>
    <xf numFmtId="165" fontId="5" fillId="0" borderId="11" xfId="0" applyNumberFormat="1" applyFont="1" applyBorder="1"/>
    <xf numFmtId="0" fontId="5" fillId="0" borderId="12" xfId="0" applyFont="1" applyBorder="1"/>
    <xf numFmtId="0" fontId="5" fillId="0" borderId="11" xfId="0" applyFont="1" applyBorder="1"/>
    <xf numFmtId="165" fontId="5" fillId="0" borderId="13" xfId="0" applyNumberFormat="1" applyFont="1" applyBorder="1"/>
    <xf numFmtId="164" fontId="5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/>
    <xf numFmtId="10" fontId="5" fillId="0" borderId="9" xfId="0" applyNumberFormat="1" applyFont="1" applyBorder="1"/>
    <xf numFmtId="10" fontId="5" fillId="0" borderId="7" xfId="0" applyNumberFormat="1" applyFont="1" applyBorder="1"/>
    <xf numFmtId="10" fontId="6" fillId="0" borderId="9" xfId="0" applyNumberFormat="1" applyFont="1" applyBorder="1"/>
    <xf numFmtId="10" fontId="4" fillId="0" borderId="13" xfId="0" applyNumberFormat="1" applyFont="1" applyBorder="1"/>
    <xf numFmtId="10" fontId="5" fillId="0" borderId="0" xfId="0" applyNumberFormat="1" applyFont="1" applyBorder="1"/>
    <xf numFmtId="10" fontId="6" fillId="0" borderId="0" xfId="0" applyNumberFormat="1" applyFont="1" applyBorder="1"/>
    <xf numFmtId="10" fontId="5" fillId="0" borderId="1" xfId="0" applyNumberFormat="1" applyFont="1" applyBorder="1"/>
    <xf numFmtId="10" fontId="7" fillId="0" borderId="0" xfId="0" applyNumberFormat="1" applyFont="1" applyBorder="1"/>
    <xf numFmtId="10" fontId="5" fillId="0" borderId="14" xfId="0" applyNumberFormat="1" applyFont="1" applyBorder="1"/>
    <xf numFmtId="10" fontId="5" fillId="0" borderId="19" xfId="0" applyNumberFormat="1" applyFont="1" applyBorder="1"/>
    <xf numFmtId="10" fontId="4" fillId="0" borderId="0" xfId="0" applyNumberFormat="1" applyFont="1" applyBorder="1"/>
    <xf numFmtId="10" fontId="4" fillId="0" borderId="14" xfId="0" applyNumberFormat="1" applyFont="1" applyBorder="1"/>
    <xf numFmtId="10" fontId="5" fillId="0" borderId="15" xfId="0" applyNumberFormat="1" applyFont="1" applyBorder="1"/>
    <xf numFmtId="10" fontId="4" fillId="0" borderId="15" xfId="0" applyNumberFormat="1" applyFont="1" applyBorder="1"/>
    <xf numFmtId="168" fontId="4" fillId="0" borderId="0" xfId="313" applyNumberFormat="1" applyFont="1"/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8" fillId="4" borderId="0" xfId="0" applyNumberFormat="1" applyFont="1" applyFill="1" applyAlignment="1">
      <alignment horizontal="center" vertical="center"/>
    </xf>
    <xf numFmtId="170" fontId="5" fillId="0" borderId="0" xfId="0" applyNumberFormat="1" applyFont="1"/>
    <xf numFmtId="10" fontId="5" fillId="0" borderId="0" xfId="0" applyNumberFormat="1" applyFont="1"/>
    <xf numFmtId="0" fontId="8" fillId="5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171" fontId="9" fillId="5" borderId="0" xfId="0" applyNumberFormat="1" applyFont="1" applyFill="1" applyAlignment="1">
      <alignment vertical="center"/>
    </xf>
    <xf numFmtId="171" fontId="5" fillId="0" borderId="0" xfId="0" applyNumberFormat="1" applyFont="1"/>
    <xf numFmtId="0" fontId="9" fillId="5" borderId="0" xfId="0" applyFont="1" applyFill="1" applyAlignment="1">
      <alignment vertical="center"/>
    </xf>
    <xf numFmtId="171" fontId="9" fillId="5" borderId="0" xfId="0" applyNumberFormat="1" applyFont="1" applyFill="1" applyAlignment="1">
      <alignment horizontal="right" vertical="center"/>
    </xf>
    <xf numFmtId="171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1" fontId="8" fillId="0" borderId="0" xfId="0" applyNumberFormat="1" applyFont="1" applyAlignment="1">
      <alignment horizontal="right" vertical="center"/>
    </xf>
    <xf numFmtId="0" fontId="10" fillId="5" borderId="0" xfId="0" applyFont="1" applyFill="1" applyAlignment="1">
      <alignment vertical="center"/>
    </xf>
    <xf numFmtId="171" fontId="10" fillId="5" borderId="0" xfId="0" applyNumberFormat="1" applyFont="1" applyFill="1" applyAlignment="1">
      <alignment vertical="center"/>
    </xf>
    <xf numFmtId="171" fontId="11" fillId="5" borderId="0" xfId="0" applyNumberFormat="1" applyFont="1" applyFill="1" applyAlignment="1">
      <alignment vertical="center"/>
    </xf>
    <xf numFmtId="171" fontId="8" fillId="5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171" fontId="8" fillId="3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vertical="center"/>
    </xf>
    <xf numFmtId="171" fontId="12" fillId="5" borderId="0" xfId="0" applyNumberFormat="1" applyFont="1" applyFill="1" applyAlignment="1">
      <alignment horizontal="right" vertical="center"/>
    </xf>
    <xf numFmtId="171" fontId="12" fillId="5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171" fontId="9" fillId="0" borderId="0" xfId="0" applyNumberFormat="1" applyFont="1" applyAlignment="1">
      <alignment horizontal="right" vertical="center"/>
    </xf>
    <xf numFmtId="10" fontId="5" fillId="0" borderId="0" xfId="313" applyNumberFormat="1" applyFont="1"/>
  </cellXfs>
  <cellStyles count="3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Normal" xfId="0" builtinId="0"/>
    <cellStyle name="Percent" xfId="3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showGridLines="0" topLeftCell="E71" workbookViewId="0">
      <selection activeCell="I89" sqref="I89"/>
    </sheetView>
  </sheetViews>
  <sheetFormatPr defaultColWidth="8.85546875" defaultRowHeight="15.75" x14ac:dyDescent="0.25"/>
  <cols>
    <col min="1" max="1" width="12.140625" style="23" bestFit="1" customWidth="1"/>
    <col min="2" max="2" width="26.5703125" style="23" bestFit="1" customWidth="1"/>
    <col min="3" max="3" width="37.140625" style="1" bestFit="1" customWidth="1"/>
    <col min="4" max="4" width="22.140625" style="24" bestFit="1" customWidth="1"/>
    <col min="5" max="5" width="21.85546875" style="24" bestFit="1" customWidth="1"/>
    <col min="6" max="6" width="14.85546875" style="1" bestFit="1" customWidth="1"/>
    <col min="7" max="7" width="12.140625" style="23" bestFit="1" customWidth="1"/>
    <col min="8" max="8" width="26.5703125" style="23" bestFit="1" customWidth="1"/>
    <col min="9" max="9" width="37.140625" style="1" bestFit="1" customWidth="1"/>
    <col min="10" max="10" width="22.140625" style="24" bestFit="1" customWidth="1"/>
    <col min="11" max="11" width="21.85546875" style="24" bestFit="1" customWidth="1"/>
    <col min="12" max="12" width="8.85546875" style="1"/>
    <col min="13" max="13" width="13.140625" style="1" bestFit="1" customWidth="1"/>
    <col min="14" max="16384" width="8.85546875" style="1"/>
  </cols>
  <sheetData>
    <row r="1" spans="1:12" x14ac:dyDescent="0.25">
      <c r="A1" s="79" t="s">
        <v>38</v>
      </c>
      <c r="B1" s="80"/>
      <c r="C1" s="80"/>
      <c r="D1" s="80"/>
      <c r="E1" s="81"/>
      <c r="G1" s="79" t="s">
        <v>38</v>
      </c>
      <c r="H1" s="80"/>
      <c r="I1" s="80"/>
      <c r="J1" s="80"/>
      <c r="K1" s="81"/>
    </row>
    <row r="2" spans="1:12" x14ac:dyDescent="0.25">
      <c r="A2" s="82" t="s">
        <v>84</v>
      </c>
      <c r="B2" s="83"/>
      <c r="C2" s="83"/>
      <c r="D2" s="83"/>
      <c r="E2" s="84"/>
      <c r="G2" s="82" t="s">
        <v>96</v>
      </c>
      <c r="H2" s="83"/>
      <c r="I2" s="83"/>
      <c r="J2" s="83"/>
      <c r="K2" s="84"/>
    </row>
    <row r="3" spans="1:12" s="7" customFormat="1" x14ac:dyDescent="0.25">
      <c r="A3" s="2" t="s">
        <v>39</v>
      </c>
      <c r="B3" s="3" t="s">
        <v>40</v>
      </c>
      <c r="C3" s="4" t="s">
        <v>3</v>
      </c>
      <c r="D3" s="5" t="s">
        <v>0</v>
      </c>
      <c r="E3" s="6" t="s">
        <v>1</v>
      </c>
      <c r="G3" s="2" t="s">
        <v>39</v>
      </c>
      <c r="H3" s="3" t="s">
        <v>40</v>
      </c>
      <c r="I3" s="4" t="s">
        <v>3</v>
      </c>
      <c r="J3" s="5" t="s">
        <v>0</v>
      </c>
      <c r="K3" s="6" t="s">
        <v>1</v>
      </c>
    </row>
    <row r="4" spans="1:12" x14ac:dyDescent="0.25">
      <c r="A4" s="8" t="s">
        <v>33</v>
      </c>
      <c r="B4" s="9" t="s">
        <v>41</v>
      </c>
      <c r="C4" s="10" t="s">
        <v>9</v>
      </c>
      <c r="D4" s="11">
        <v>325000</v>
      </c>
      <c r="E4" s="12"/>
      <c r="G4" s="8" t="s">
        <v>33</v>
      </c>
      <c r="H4" s="9" t="s">
        <v>41</v>
      </c>
      <c r="I4" s="10" t="s">
        <v>9</v>
      </c>
      <c r="J4" s="11">
        <v>374430</v>
      </c>
      <c r="K4" s="12"/>
    </row>
    <row r="5" spans="1:12" x14ac:dyDescent="0.25">
      <c r="A5" s="8" t="s">
        <v>33</v>
      </c>
      <c r="B5" s="9" t="s">
        <v>41</v>
      </c>
      <c r="C5" s="10" t="s">
        <v>42</v>
      </c>
      <c r="D5" s="11">
        <v>775000</v>
      </c>
      <c r="E5" s="12"/>
      <c r="G5" s="8" t="s">
        <v>33</v>
      </c>
      <c r="H5" s="9" t="s">
        <v>41</v>
      </c>
      <c r="I5" s="10" t="s">
        <v>42</v>
      </c>
      <c r="J5" s="11">
        <v>804000</v>
      </c>
      <c r="K5" s="12"/>
    </row>
    <row r="6" spans="1:12" x14ac:dyDescent="0.25">
      <c r="A6" s="8" t="s">
        <v>33</v>
      </c>
      <c r="B6" s="9" t="s">
        <v>41</v>
      </c>
      <c r="C6" s="10" t="s">
        <v>43</v>
      </c>
      <c r="D6" s="11">
        <v>125500</v>
      </c>
      <c r="E6" s="12"/>
      <c r="G6" s="8" t="s">
        <v>33</v>
      </c>
      <c r="H6" s="9" t="s">
        <v>41</v>
      </c>
      <c r="I6" s="10" t="s">
        <v>43</v>
      </c>
      <c r="J6" s="11">
        <v>140500</v>
      </c>
      <c r="K6" s="12"/>
    </row>
    <row r="7" spans="1:12" x14ac:dyDescent="0.25">
      <c r="A7" s="8" t="s">
        <v>33</v>
      </c>
      <c r="B7" s="9" t="s">
        <v>41</v>
      </c>
      <c r="C7" s="10" t="s">
        <v>83</v>
      </c>
      <c r="D7" s="11"/>
      <c r="E7" s="12">
        <v>345000</v>
      </c>
      <c r="G7" s="8" t="s">
        <v>33</v>
      </c>
      <c r="H7" s="9" t="s">
        <v>41</v>
      </c>
      <c r="I7" s="10" t="s">
        <v>83</v>
      </c>
      <c r="J7" s="11"/>
      <c r="K7" s="12">
        <f>E7+J37</f>
        <v>378750</v>
      </c>
    </row>
    <row r="8" spans="1:12" x14ac:dyDescent="0.25">
      <c r="A8" s="8" t="s">
        <v>33</v>
      </c>
      <c r="B8" s="9" t="s">
        <v>41</v>
      </c>
      <c r="C8" s="10" t="s">
        <v>44</v>
      </c>
      <c r="D8" s="11"/>
      <c r="E8" s="12">
        <v>38000</v>
      </c>
      <c r="G8" s="8" t="s">
        <v>33</v>
      </c>
      <c r="H8" s="9" t="s">
        <v>41</v>
      </c>
      <c r="I8" s="10" t="s">
        <v>44</v>
      </c>
      <c r="J8" s="11"/>
      <c r="K8" s="12">
        <f>E8+J38-3500</f>
        <v>49650</v>
      </c>
    </row>
    <row r="9" spans="1:12" x14ac:dyDescent="0.25">
      <c r="A9" s="8" t="s">
        <v>33</v>
      </c>
      <c r="B9" s="9" t="s">
        <v>46</v>
      </c>
      <c r="C9" s="10" t="s">
        <v>45</v>
      </c>
      <c r="D9" s="11">
        <v>200000</v>
      </c>
      <c r="E9" s="12"/>
      <c r="G9" s="8" t="s">
        <v>33</v>
      </c>
      <c r="H9" s="9" t="s">
        <v>46</v>
      </c>
      <c r="I9" s="10" t="s">
        <v>45</v>
      </c>
      <c r="J9" s="11">
        <v>100000</v>
      </c>
      <c r="K9" s="12"/>
    </row>
    <row r="10" spans="1:12" x14ac:dyDescent="0.25">
      <c r="A10" s="8" t="s">
        <v>33</v>
      </c>
      <c r="B10" s="9" t="s">
        <v>8</v>
      </c>
      <c r="C10" s="10" t="s">
        <v>8</v>
      </c>
      <c r="D10" s="11">
        <v>0</v>
      </c>
      <c r="E10" s="12"/>
      <c r="G10" s="8" t="s">
        <v>33</v>
      </c>
      <c r="H10" s="9" t="s">
        <v>8</v>
      </c>
      <c r="I10" s="10" t="s">
        <v>8</v>
      </c>
      <c r="J10" s="11">
        <v>220000</v>
      </c>
      <c r="K10" s="12"/>
    </row>
    <row r="11" spans="1:12" x14ac:dyDescent="0.25">
      <c r="A11" s="8" t="s">
        <v>33</v>
      </c>
      <c r="B11" s="9" t="s">
        <v>47</v>
      </c>
      <c r="C11" s="10" t="s">
        <v>76</v>
      </c>
      <c r="D11" s="11">
        <v>455000</v>
      </c>
      <c r="E11" s="12"/>
      <c r="F11" s="25"/>
      <c r="G11" s="8" t="s">
        <v>33</v>
      </c>
      <c r="H11" s="9" t="s">
        <v>47</v>
      </c>
      <c r="I11" s="10" t="s">
        <v>76</v>
      </c>
      <c r="J11" s="11">
        <v>424000</v>
      </c>
      <c r="K11" s="12"/>
    </row>
    <row r="12" spans="1:12" x14ac:dyDescent="0.25">
      <c r="A12" s="8" t="s">
        <v>33</v>
      </c>
      <c r="B12" s="9" t="s">
        <v>47</v>
      </c>
      <c r="C12" s="10" t="s">
        <v>6</v>
      </c>
      <c r="D12" s="11">
        <v>145000</v>
      </c>
      <c r="E12" s="12"/>
      <c r="F12" s="25"/>
      <c r="G12" s="8" t="s">
        <v>33</v>
      </c>
      <c r="H12" s="9" t="s">
        <v>47</v>
      </c>
      <c r="I12" s="10" t="s">
        <v>6</v>
      </c>
      <c r="J12" s="11">
        <v>161000</v>
      </c>
      <c r="K12" s="12"/>
      <c r="L12" s="1">
        <f>(SUM(J11:J17)-K14-J11)/SUM(K24:K29)</f>
        <v>1.1174062431464289</v>
      </c>
    </row>
    <row r="13" spans="1:12" x14ac:dyDescent="0.25">
      <c r="A13" s="8" t="s">
        <v>33</v>
      </c>
      <c r="B13" s="9" t="s">
        <v>47</v>
      </c>
      <c r="C13" s="10" t="s">
        <v>2</v>
      </c>
      <c r="D13" s="11">
        <v>167000</v>
      </c>
      <c r="E13" s="12"/>
      <c r="G13" s="8" t="s">
        <v>33</v>
      </c>
      <c r="H13" s="9" t="s">
        <v>47</v>
      </c>
      <c r="I13" s="10" t="s">
        <v>2</v>
      </c>
      <c r="J13" s="11">
        <v>163000</v>
      </c>
      <c r="K13" s="12"/>
    </row>
    <row r="14" spans="1:12" x14ac:dyDescent="0.25">
      <c r="A14" s="8" t="s">
        <v>33</v>
      </c>
      <c r="B14" s="9" t="s">
        <v>47</v>
      </c>
      <c r="C14" s="10" t="s">
        <v>85</v>
      </c>
      <c r="D14" s="11"/>
      <c r="E14" s="12">
        <v>115000</v>
      </c>
      <c r="G14" s="8" t="s">
        <v>33</v>
      </c>
      <c r="H14" s="9" t="s">
        <v>47</v>
      </c>
      <c r="I14" s="10" t="s">
        <v>85</v>
      </c>
      <c r="J14" s="11"/>
      <c r="K14" s="12">
        <v>95000</v>
      </c>
    </row>
    <row r="15" spans="1:12" x14ac:dyDescent="0.25">
      <c r="A15" s="8" t="s">
        <v>33</v>
      </c>
      <c r="B15" s="9" t="s">
        <v>47</v>
      </c>
      <c r="C15" s="10" t="s">
        <v>48</v>
      </c>
      <c r="D15" s="11">
        <v>82000</v>
      </c>
      <c r="E15" s="12"/>
      <c r="G15" s="8" t="s">
        <v>33</v>
      </c>
      <c r="H15" s="9" t="s">
        <v>47</v>
      </c>
      <c r="I15" s="10" t="s">
        <v>48</v>
      </c>
      <c r="J15" s="11">
        <v>41000</v>
      </c>
      <c r="K15" s="12"/>
    </row>
    <row r="16" spans="1:12" x14ac:dyDescent="0.25">
      <c r="A16" s="8" t="s">
        <v>33</v>
      </c>
      <c r="B16" s="9" t="s">
        <v>47</v>
      </c>
      <c r="C16" s="10" t="s">
        <v>49</v>
      </c>
      <c r="D16" s="11">
        <v>153000</v>
      </c>
      <c r="E16" s="12"/>
      <c r="G16" s="8" t="s">
        <v>33</v>
      </c>
      <c r="H16" s="9" t="s">
        <v>47</v>
      </c>
      <c r="I16" s="10" t="s">
        <v>49</v>
      </c>
      <c r="J16" s="11">
        <v>96000</v>
      </c>
      <c r="K16" s="12"/>
    </row>
    <row r="17" spans="1:11" x14ac:dyDescent="0.25">
      <c r="A17" s="8" t="s">
        <v>33</v>
      </c>
      <c r="B17" s="9" t="s">
        <v>50</v>
      </c>
      <c r="C17" s="10" t="s">
        <v>51</v>
      </c>
      <c r="D17" s="11">
        <v>39350</v>
      </c>
      <c r="E17" s="12"/>
      <c r="G17" s="8" t="s">
        <v>33</v>
      </c>
      <c r="H17" s="9" t="s">
        <v>50</v>
      </c>
      <c r="I17" s="10" t="s">
        <v>51</v>
      </c>
      <c r="J17" s="11">
        <v>31410</v>
      </c>
      <c r="K17" s="12"/>
    </row>
    <row r="18" spans="1:11" x14ac:dyDescent="0.25">
      <c r="A18" s="8" t="s">
        <v>34</v>
      </c>
      <c r="B18" s="9" t="s">
        <v>20</v>
      </c>
      <c r="C18" s="10" t="s">
        <v>86</v>
      </c>
      <c r="D18" s="11"/>
      <c r="E18" s="12">
        <v>500000</v>
      </c>
      <c r="G18" s="8" t="s">
        <v>34</v>
      </c>
      <c r="H18" s="9" t="s">
        <v>20</v>
      </c>
      <c r="I18" s="10" t="s">
        <v>86</v>
      </c>
      <c r="J18" s="11"/>
      <c r="K18" s="12">
        <v>500000</v>
      </c>
    </row>
    <row r="19" spans="1:11" x14ac:dyDescent="0.25">
      <c r="A19" s="8" t="s">
        <v>34</v>
      </c>
      <c r="B19" s="9" t="s">
        <v>20</v>
      </c>
      <c r="C19" s="10" t="s">
        <v>87</v>
      </c>
      <c r="D19" s="11"/>
      <c r="E19" s="12">
        <v>60000</v>
      </c>
      <c r="G19" s="8" t="s">
        <v>34</v>
      </c>
      <c r="H19" s="9" t="s">
        <v>20</v>
      </c>
      <c r="I19" s="10" t="s">
        <v>87</v>
      </c>
      <c r="J19" s="11"/>
      <c r="K19" s="12">
        <v>60000</v>
      </c>
    </row>
    <row r="20" spans="1:11" x14ac:dyDescent="0.25">
      <c r="A20" s="8" t="s">
        <v>34</v>
      </c>
      <c r="B20" s="9" t="s">
        <v>20</v>
      </c>
      <c r="C20" s="10" t="s">
        <v>88</v>
      </c>
      <c r="D20" s="11"/>
      <c r="E20" s="12">
        <v>20000</v>
      </c>
      <c r="G20" s="8" t="s">
        <v>34</v>
      </c>
      <c r="H20" s="9" t="s">
        <v>20</v>
      </c>
      <c r="I20" s="10" t="s">
        <v>88</v>
      </c>
      <c r="J20" s="11"/>
      <c r="K20" s="12">
        <f>E66</f>
        <v>24101</v>
      </c>
    </row>
    <row r="21" spans="1:11" x14ac:dyDescent="0.25">
      <c r="A21" s="8" t="s">
        <v>34</v>
      </c>
      <c r="B21" s="9" t="s">
        <v>20</v>
      </c>
      <c r="C21" s="10" t="s">
        <v>89</v>
      </c>
      <c r="D21" s="11"/>
      <c r="E21" s="12">
        <v>465633</v>
      </c>
      <c r="G21" s="8" t="s">
        <v>34</v>
      </c>
      <c r="H21" s="9" t="s">
        <v>20</v>
      </c>
      <c r="I21" s="10" t="s">
        <v>89</v>
      </c>
      <c r="J21" s="11"/>
      <c r="K21" s="12">
        <f>E67</f>
        <v>516280</v>
      </c>
    </row>
    <row r="22" spans="1:11" x14ac:dyDescent="0.25">
      <c r="A22" s="8" t="s">
        <v>34</v>
      </c>
      <c r="B22" s="9" t="s">
        <v>20</v>
      </c>
      <c r="C22" s="10" t="s">
        <v>94</v>
      </c>
      <c r="D22" s="11">
        <v>40000</v>
      </c>
      <c r="E22" s="12"/>
      <c r="G22" s="8" t="s">
        <v>34</v>
      </c>
      <c r="H22" s="9" t="s">
        <v>20</v>
      </c>
      <c r="I22" s="10" t="s">
        <v>94</v>
      </c>
      <c r="J22" s="11">
        <v>40000</v>
      </c>
      <c r="K22" s="12"/>
    </row>
    <row r="23" spans="1:11" x14ac:dyDescent="0.25">
      <c r="A23" s="8" t="s">
        <v>34</v>
      </c>
      <c r="B23" s="9" t="s">
        <v>52</v>
      </c>
      <c r="C23" s="10" t="s">
        <v>90</v>
      </c>
      <c r="D23" s="11"/>
      <c r="E23" s="12">
        <v>450000</v>
      </c>
      <c r="G23" s="8" t="s">
        <v>34</v>
      </c>
      <c r="H23" s="9" t="s">
        <v>52</v>
      </c>
      <c r="I23" s="10" t="s">
        <v>90</v>
      </c>
      <c r="J23" s="11"/>
      <c r="K23" s="12">
        <v>500000</v>
      </c>
    </row>
    <row r="24" spans="1:11" x14ac:dyDescent="0.25">
      <c r="A24" s="8" t="s">
        <v>34</v>
      </c>
      <c r="B24" s="9" t="s">
        <v>54</v>
      </c>
      <c r="C24" s="10" t="s">
        <v>77</v>
      </c>
      <c r="D24" s="11"/>
      <c r="E24" s="12">
        <v>225000</v>
      </c>
      <c r="G24" s="8" t="s">
        <v>34</v>
      </c>
      <c r="H24" s="9" t="s">
        <v>54</v>
      </c>
      <c r="I24" s="10" t="s">
        <v>77</v>
      </c>
      <c r="J24" s="11"/>
      <c r="K24" s="12">
        <v>192000</v>
      </c>
    </row>
    <row r="25" spans="1:11" x14ac:dyDescent="0.25">
      <c r="A25" s="8" t="s">
        <v>34</v>
      </c>
      <c r="B25" s="9" t="s">
        <v>54</v>
      </c>
      <c r="C25" s="10" t="s">
        <v>7</v>
      </c>
      <c r="D25" s="11"/>
      <c r="E25" s="12">
        <v>102000</v>
      </c>
      <c r="F25" s="24"/>
      <c r="G25" s="8" t="s">
        <v>34</v>
      </c>
      <c r="H25" s="9" t="s">
        <v>54</v>
      </c>
      <c r="I25" s="10" t="s">
        <v>7</v>
      </c>
      <c r="J25" s="11"/>
      <c r="K25" s="12">
        <v>98000</v>
      </c>
    </row>
    <row r="26" spans="1:11" x14ac:dyDescent="0.25">
      <c r="A26" s="8" t="s">
        <v>34</v>
      </c>
      <c r="B26" s="9" t="s">
        <v>54</v>
      </c>
      <c r="C26" s="10" t="s">
        <v>55</v>
      </c>
      <c r="D26" s="11"/>
      <c r="E26" s="12">
        <v>35000</v>
      </c>
      <c r="G26" s="8" t="s">
        <v>34</v>
      </c>
      <c r="H26" s="9" t="s">
        <v>54</v>
      </c>
      <c r="I26" s="10" t="s">
        <v>55</v>
      </c>
      <c r="J26" s="11"/>
      <c r="K26" s="12">
        <v>23000</v>
      </c>
    </row>
    <row r="27" spans="1:11" x14ac:dyDescent="0.25">
      <c r="A27" s="8" t="s">
        <v>34</v>
      </c>
      <c r="B27" s="9" t="s">
        <v>54</v>
      </c>
      <c r="C27" s="10" t="s">
        <v>91</v>
      </c>
      <c r="D27" s="11"/>
      <c r="E27" s="12">
        <v>5000</v>
      </c>
      <c r="G27" s="8" t="s">
        <v>34</v>
      </c>
      <c r="H27" s="9" t="s">
        <v>54</v>
      </c>
      <c r="I27" s="10" t="s">
        <v>91</v>
      </c>
      <c r="J27" s="11"/>
      <c r="K27" s="12">
        <v>4300</v>
      </c>
    </row>
    <row r="28" spans="1:11" x14ac:dyDescent="0.25">
      <c r="A28" s="8" t="s">
        <v>34</v>
      </c>
      <c r="B28" s="9" t="s">
        <v>54</v>
      </c>
      <c r="C28" s="10" t="s">
        <v>92</v>
      </c>
      <c r="D28" s="11"/>
      <c r="E28" s="12">
        <v>9857</v>
      </c>
      <c r="G28" s="8" t="s">
        <v>34</v>
      </c>
      <c r="H28" s="9" t="s">
        <v>54</v>
      </c>
      <c r="I28" s="10" t="s">
        <v>92</v>
      </c>
      <c r="J28" s="11"/>
      <c r="K28" s="12">
        <f>ROUND(E28*(1+2%),0)</f>
        <v>10054</v>
      </c>
    </row>
    <row r="29" spans="1:11" x14ac:dyDescent="0.25">
      <c r="A29" s="8" t="s">
        <v>34</v>
      </c>
      <c r="B29" s="9" t="s">
        <v>54</v>
      </c>
      <c r="C29" s="10" t="s">
        <v>93</v>
      </c>
      <c r="D29" s="11"/>
      <c r="E29" s="12">
        <v>27000</v>
      </c>
      <c r="G29" s="8" t="s">
        <v>34</v>
      </c>
      <c r="H29" s="9" t="s">
        <v>54</v>
      </c>
      <c r="I29" s="10" t="s">
        <v>93</v>
      </c>
      <c r="J29" s="11"/>
      <c r="K29" s="12">
        <v>28300</v>
      </c>
    </row>
    <row r="30" spans="1:11" x14ac:dyDescent="0.25">
      <c r="A30" s="8" t="s">
        <v>35</v>
      </c>
      <c r="B30" s="9" t="s">
        <v>59</v>
      </c>
      <c r="C30" s="10" t="s">
        <v>82</v>
      </c>
      <c r="D30" s="11">
        <v>926156</v>
      </c>
      <c r="E30" s="12"/>
      <c r="G30" s="8" t="s">
        <v>35</v>
      </c>
      <c r="H30" s="9" t="s">
        <v>59</v>
      </c>
      <c r="I30" s="10" t="s">
        <v>82</v>
      </c>
      <c r="J30" s="11">
        <f>ROUND(D30*(1+9%),0)</f>
        <v>1009510</v>
      </c>
      <c r="K30" s="12"/>
    </row>
    <row r="31" spans="1:11" x14ac:dyDescent="0.25">
      <c r="A31" s="8" t="s">
        <v>35</v>
      </c>
      <c r="B31" s="9" t="s">
        <v>59</v>
      </c>
      <c r="C31" s="10" t="s">
        <v>78</v>
      </c>
      <c r="D31" s="11">
        <v>147850</v>
      </c>
      <c r="E31" s="12"/>
      <c r="F31" s="25"/>
      <c r="G31" s="8" t="s">
        <v>35</v>
      </c>
      <c r="H31" s="9" t="s">
        <v>59</v>
      </c>
      <c r="I31" s="10" t="s">
        <v>78</v>
      </c>
      <c r="J31" s="11">
        <f>ROUND(D31*(1+2%),0)</f>
        <v>150807</v>
      </c>
      <c r="K31" s="12"/>
    </row>
    <row r="32" spans="1:11" x14ac:dyDescent="0.25">
      <c r="A32" s="8" t="s">
        <v>35</v>
      </c>
      <c r="B32" s="9" t="s">
        <v>59</v>
      </c>
      <c r="C32" s="10" t="s">
        <v>95</v>
      </c>
      <c r="D32" s="11">
        <v>36963</v>
      </c>
      <c r="E32" s="12"/>
      <c r="F32" s="25"/>
      <c r="G32" s="8" t="s">
        <v>35</v>
      </c>
      <c r="H32" s="9" t="s">
        <v>59</v>
      </c>
      <c r="I32" s="10" t="s">
        <v>95</v>
      </c>
      <c r="J32" s="11">
        <f>ROUND(D32*(1+2%),0)</f>
        <v>37702</v>
      </c>
      <c r="K32" s="12"/>
    </row>
    <row r="33" spans="1:13" x14ac:dyDescent="0.25">
      <c r="A33" s="8" t="s">
        <v>35</v>
      </c>
      <c r="B33" s="9" t="s">
        <v>59</v>
      </c>
      <c r="C33" s="10" t="s">
        <v>56</v>
      </c>
      <c r="D33" s="11">
        <v>50000</v>
      </c>
      <c r="E33" s="12"/>
      <c r="F33" s="25"/>
      <c r="G33" s="8" t="s">
        <v>35</v>
      </c>
      <c r="H33" s="9" t="s">
        <v>59</v>
      </c>
      <c r="I33" s="10" t="s">
        <v>56</v>
      </c>
      <c r="J33" s="11">
        <v>60000</v>
      </c>
      <c r="K33" s="12"/>
    </row>
    <row r="34" spans="1:13" x14ac:dyDescent="0.25">
      <c r="A34" s="8" t="s">
        <v>35</v>
      </c>
      <c r="B34" s="9" t="s">
        <v>59</v>
      </c>
      <c r="C34" s="10" t="s">
        <v>5</v>
      </c>
      <c r="D34" s="11">
        <v>48000</v>
      </c>
      <c r="E34" s="12"/>
      <c r="G34" s="8" t="s">
        <v>35</v>
      </c>
      <c r="H34" s="9" t="s">
        <v>59</v>
      </c>
      <c r="I34" s="10" t="s">
        <v>5</v>
      </c>
      <c r="J34" s="11">
        <v>48000</v>
      </c>
      <c r="K34" s="12"/>
    </row>
    <row r="35" spans="1:13" x14ac:dyDescent="0.25">
      <c r="A35" s="8" t="s">
        <v>35</v>
      </c>
      <c r="B35" s="9" t="s">
        <v>59</v>
      </c>
      <c r="C35" s="10" t="s">
        <v>64</v>
      </c>
      <c r="D35" s="11">
        <v>42000</v>
      </c>
      <c r="E35" s="12"/>
      <c r="G35" s="8" t="s">
        <v>35</v>
      </c>
      <c r="H35" s="9" t="s">
        <v>59</v>
      </c>
      <c r="I35" s="10" t="s">
        <v>64</v>
      </c>
      <c r="J35" s="11">
        <v>38000</v>
      </c>
      <c r="K35" s="12"/>
    </row>
    <row r="36" spans="1:13" x14ac:dyDescent="0.25">
      <c r="A36" s="8" t="s">
        <v>35</v>
      </c>
      <c r="B36" s="9" t="s">
        <v>59</v>
      </c>
      <c r="C36" s="10" t="s">
        <v>81</v>
      </c>
      <c r="D36" s="11">
        <v>10200</v>
      </c>
      <c r="E36" s="12"/>
      <c r="G36" s="8" t="s">
        <v>35</v>
      </c>
      <c r="H36" s="9" t="s">
        <v>59</v>
      </c>
      <c r="I36" s="10" t="s">
        <v>81</v>
      </c>
      <c r="J36" s="11">
        <v>11300</v>
      </c>
      <c r="K36" s="12"/>
    </row>
    <row r="37" spans="1:13" x14ac:dyDescent="0.25">
      <c r="A37" s="8" t="s">
        <v>35</v>
      </c>
      <c r="B37" s="9" t="s">
        <v>29</v>
      </c>
      <c r="C37" s="10" t="s">
        <v>57</v>
      </c>
      <c r="D37" s="11">
        <v>33750</v>
      </c>
      <c r="E37" s="12"/>
      <c r="G37" s="8" t="s">
        <v>35</v>
      </c>
      <c r="H37" s="9" t="s">
        <v>29</v>
      </c>
      <c r="I37" s="10" t="s">
        <v>57</v>
      </c>
      <c r="J37" s="11">
        <v>33750</v>
      </c>
      <c r="K37" s="12"/>
    </row>
    <row r="38" spans="1:13" x14ac:dyDescent="0.25">
      <c r="A38" s="8" t="s">
        <v>35</v>
      </c>
      <c r="B38" s="9" t="s">
        <v>29</v>
      </c>
      <c r="C38" s="10" t="s">
        <v>58</v>
      </c>
      <c r="D38" s="11">
        <v>13250</v>
      </c>
      <c r="E38" s="12"/>
      <c r="G38" s="8" t="s">
        <v>35</v>
      </c>
      <c r="H38" s="9" t="s">
        <v>29</v>
      </c>
      <c r="I38" s="10" t="s">
        <v>58</v>
      </c>
      <c r="J38" s="11">
        <v>15150</v>
      </c>
      <c r="K38" s="12"/>
    </row>
    <row r="39" spans="1:13" x14ac:dyDescent="0.25">
      <c r="A39" s="8" t="s">
        <v>35</v>
      </c>
      <c r="B39" s="9" t="s">
        <v>98</v>
      </c>
      <c r="C39" s="10" t="s">
        <v>80</v>
      </c>
      <c r="D39" s="11">
        <v>32000</v>
      </c>
      <c r="E39" s="12"/>
      <c r="G39" s="8" t="s">
        <v>35</v>
      </c>
      <c r="H39" s="9" t="s">
        <v>98</v>
      </c>
      <c r="I39" s="10" t="s">
        <v>80</v>
      </c>
      <c r="J39" s="11">
        <v>35150</v>
      </c>
      <c r="K39" s="12"/>
      <c r="M39" s="25"/>
    </row>
    <row r="40" spans="1:13" x14ac:dyDescent="0.25">
      <c r="A40" s="8" t="s">
        <v>35</v>
      </c>
      <c r="B40" s="9" t="s">
        <v>98</v>
      </c>
      <c r="C40" s="10" t="s">
        <v>99</v>
      </c>
      <c r="D40" s="11">
        <v>5000</v>
      </c>
      <c r="E40" s="12"/>
      <c r="G40" s="8" t="s">
        <v>35</v>
      </c>
      <c r="H40" s="9" t="s">
        <v>98</v>
      </c>
      <c r="I40" s="10" t="s">
        <v>99</v>
      </c>
      <c r="J40" s="11">
        <v>2450</v>
      </c>
      <c r="K40" s="12"/>
    </row>
    <row r="41" spans="1:13" x14ac:dyDescent="0.25">
      <c r="A41" s="8" t="s">
        <v>35</v>
      </c>
      <c r="B41" s="9" t="s">
        <v>60</v>
      </c>
      <c r="C41" s="10" t="s">
        <v>61</v>
      </c>
      <c r="D41" s="11">
        <v>15350</v>
      </c>
      <c r="E41" s="12"/>
      <c r="G41" s="8" t="s">
        <v>35</v>
      </c>
      <c r="H41" s="9" t="s">
        <v>60</v>
      </c>
      <c r="I41" s="10" t="s">
        <v>61</v>
      </c>
      <c r="J41" s="11">
        <v>4120</v>
      </c>
      <c r="K41" s="12"/>
    </row>
    <row r="42" spans="1:13" x14ac:dyDescent="0.25">
      <c r="A42" s="8" t="s">
        <v>36</v>
      </c>
      <c r="B42" s="9" t="s">
        <v>59</v>
      </c>
      <c r="C42" s="10" t="s">
        <v>79</v>
      </c>
      <c r="D42" s="11"/>
      <c r="E42" s="12">
        <v>1434879</v>
      </c>
      <c r="F42" s="25"/>
      <c r="G42" s="8" t="s">
        <v>36</v>
      </c>
      <c r="H42" s="9" t="s">
        <v>59</v>
      </c>
      <c r="I42" s="10" t="s">
        <v>79</v>
      </c>
      <c r="J42" s="11"/>
      <c r="K42" s="12">
        <f>ROUND(E42*(1+8.5%),0)</f>
        <v>1556844</v>
      </c>
    </row>
    <row r="43" spans="1:13" x14ac:dyDescent="0.25">
      <c r="A43" s="13" t="s">
        <v>36</v>
      </c>
      <c r="B43" s="14" t="s">
        <v>62</v>
      </c>
      <c r="C43" s="15" t="s">
        <v>63</v>
      </c>
      <c r="D43" s="16"/>
      <c r="E43" s="17">
        <v>35000</v>
      </c>
      <c r="G43" s="13" t="s">
        <v>36</v>
      </c>
      <c r="H43" s="14" t="s">
        <v>62</v>
      </c>
      <c r="I43" s="15" t="s">
        <v>63</v>
      </c>
      <c r="J43" s="16"/>
      <c r="K43" s="17">
        <v>5000</v>
      </c>
    </row>
    <row r="44" spans="1:13" ht="16.5" thickBot="1" x14ac:dyDescent="0.3">
      <c r="A44" s="18"/>
      <c r="B44" s="19"/>
      <c r="C44" s="20" t="s">
        <v>10</v>
      </c>
      <c r="D44" s="21">
        <f>SUM(D4:D43)</f>
        <v>3867369</v>
      </c>
      <c r="E44" s="22">
        <f>SUM(E4:E43)</f>
        <v>3867369</v>
      </c>
      <c r="G44" s="18"/>
      <c r="H44" s="19"/>
      <c r="I44" s="20" t="s">
        <v>10</v>
      </c>
      <c r="J44" s="21">
        <f>SUM(J4:J43)</f>
        <v>4041279</v>
      </c>
      <c r="K44" s="22">
        <f>SUM(K4:K43)</f>
        <v>4041279</v>
      </c>
    </row>
    <row r="45" spans="1:13" x14ac:dyDescent="0.25">
      <c r="E45" s="24">
        <f>D44-E44</f>
        <v>0</v>
      </c>
      <c r="K45" s="24">
        <f>J44-K44</f>
        <v>0</v>
      </c>
    </row>
    <row r="46" spans="1:13" ht="16.5" thickBot="1" x14ac:dyDescent="0.3"/>
    <row r="47" spans="1:13" x14ac:dyDescent="0.25">
      <c r="A47" s="79" t="s">
        <v>38</v>
      </c>
      <c r="B47" s="80"/>
      <c r="C47" s="80"/>
      <c r="D47" s="80"/>
      <c r="E47" s="81"/>
      <c r="G47" s="79" t="s">
        <v>38</v>
      </c>
      <c r="H47" s="80"/>
      <c r="I47" s="80"/>
      <c r="J47" s="80"/>
      <c r="K47" s="81"/>
    </row>
    <row r="48" spans="1:13" x14ac:dyDescent="0.25">
      <c r="A48" s="82" t="s">
        <v>106</v>
      </c>
      <c r="B48" s="83"/>
      <c r="C48" s="83"/>
      <c r="D48" s="83"/>
      <c r="E48" s="84"/>
      <c r="G48" s="82" t="s">
        <v>115</v>
      </c>
      <c r="H48" s="83"/>
      <c r="I48" s="83"/>
      <c r="J48" s="83"/>
      <c r="K48" s="84"/>
    </row>
    <row r="49" spans="1:12" x14ac:dyDescent="0.25">
      <c r="A49" s="2" t="s">
        <v>39</v>
      </c>
      <c r="B49" s="3" t="s">
        <v>40</v>
      </c>
      <c r="C49" s="4" t="s">
        <v>3</v>
      </c>
      <c r="D49" s="5" t="s">
        <v>0</v>
      </c>
      <c r="E49" s="6" t="s">
        <v>1</v>
      </c>
      <c r="G49" s="2" t="s">
        <v>39</v>
      </c>
      <c r="H49" s="3" t="s">
        <v>40</v>
      </c>
      <c r="I49" s="4" t="s">
        <v>3</v>
      </c>
      <c r="J49" s="5" t="s">
        <v>0</v>
      </c>
      <c r="K49" s="6" t="s">
        <v>1</v>
      </c>
    </row>
    <row r="50" spans="1:12" x14ac:dyDescent="0.25">
      <c r="A50" s="8" t="s">
        <v>33</v>
      </c>
      <c r="B50" s="9" t="s">
        <v>41</v>
      </c>
      <c r="C50" s="10" t="s">
        <v>9</v>
      </c>
      <c r="D50" s="11">
        <f>D4</f>
        <v>325000</v>
      </c>
      <c r="E50" s="12"/>
      <c r="G50" s="8" t="s">
        <v>33</v>
      </c>
      <c r="H50" s="9" t="s">
        <v>41</v>
      </c>
      <c r="I50" s="10" t="s">
        <v>9</v>
      </c>
      <c r="J50" s="11">
        <f>J4</f>
        <v>374430</v>
      </c>
      <c r="K50" s="12"/>
    </row>
    <row r="51" spans="1:12" x14ac:dyDescent="0.25">
      <c r="A51" s="8" t="s">
        <v>33</v>
      </c>
      <c r="B51" s="9" t="s">
        <v>41</v>
      </c>
      <c r="C51" s="10" t="s">
        <v>42</v>
      </c>
      <c r="D51" s="11">
        <f t="shared" ref="D51" si="0">D5</f>
        <v>775000</v>
      </c>
      <c r="E51" s="12"/>
      <c r="G51" s="8" t="s">
        <v>33</v>
      </c>
      <c r="H51" s="9" t="s">
        <v>41</v>
      </c>
      <c r="I51" s="10" t="s">
        <v>42</v>
      </c>
      <c r="J51" s="11">
        <f t="shared" ref="J51:J52" si="1">J5</f>
        <v>804000</v>
      </c>
      <c r="K51" s="12"/>
    </row>
    <row r="52" spans="1:12" x14ac:dyDescent="0.25">
      <c r="A52" s="8" t="s">
        <v>33</v>
      </c>
      <c r="B52" s="9" t="s">
        <v>41</v>
      </c>
      <c r="C52" s="10" t="s">
        <v>43</v>
      </c>
      <c r="D52" s="11">
        <f t="shared" ref="D52" si="2">D6</f>
        <v>125500</v>
      </c>
      <c r="E52" s="12"/>
      <c r="G52" s="8" t="s">
        <v>33</v>
      </c>
      <c r="H52" s="9" t="s">
        <v>41</v>
      </c>
      <c r="I52" s="10" t="s">
        <v>43</v>
      </c>
      <c r="J52" s="11">
        <f t="shared" si="1"/>
        <v>140500</v>
      </c>
      <c r="K52" s="12"/>
    </row>
    <row r="53" spans="1:12" x14ac:dyDescent="0.25">
      <c r="A53" s="8" t="s">
        <v>33</v>
      </c>
      <c r="B53" s="9" t="s">
        <v>41</v>
      </c>
      <c r="C53" s="10" t="s">
        <v>83</v>
      </c>
      <c r="D53" s="11"/>
      <c r="E53" s="12">
        <f t="shared" ref="E53:E74" si="3">E7</f>
        <v>345000</v>
      </c>
      <c r="G53" s="8" t="s">
        <v>33</v>
      </c>
      <c r="H53" s="9" t="s">
        <v>41</v>
      </c>
      <c r="I53" s="10" t="s">
        <v>83</v>
      </c>
      <c r="J53" s="11"/>
      <c r="K53" s="12">
        <f t="shared" ref="K53:K74" si="4">K7</f>
        <v>378750</v>
      </c>
    </row>
    <row r="54" spans="1:12" x14ac:dyDescent="0.25">
      <c r="A54" s="8" t="s">
        <v>33</v>
      </c>
      <c r="B54" s="9" t="s">
        <v>41</v>
      </c>
      <c r="C54" s="10" t="s">
        <v>44</v>
      </c>
      <c r="D54" s="11"/>
      <c r="E54" s="12">
        <f t="shared" si="3"/>
        <v>38000</v>
      </c>
      <c r="G54" s="8" t="s">
        <v>33</v>
      </c>
      <c r="H54" s="9" t="s">
        <v>41</v>
      </c>
      <c r="I54" s="10" t="s">
        <v>44</v>
      </c>
      <c r="J54" s="11"/>
      <c r="K54" s="12">
        <f t="shared" si="4"/>
        <v>49650</v>
      </c>
    </row>
    <row r="55" spans="1:12" x14ac:dyDescent="0.25">
      <c r="A55" s="8" t="s">
        <v>33</v>
      </c>
      <c r="B55" s="9" t="s">
        <v>46</v>
      </c>
      <c r="C55" s="10" t="s">
        <v>45</v>
      </c>
      <c r="D55" s="11">
        <f t="shared" ref="D55" si="5">D9</f>
        <v>200000</v>
      </c>
      <c r="E55" s="12"/>
      <c r="G55" s="8" t="s">
        <v>33</v>
      </c>
      <c r="H55" s="9" t="s">
        <v>46</v>
      </c>
      <c r="I55" s="10" t="s">
        <v>45</v>
      </c>
      <c r="J55" s="11">
        <f t="shared" ref="J55:J56" si="6">J9</f>
        <v>100000</v>
      </c>
      <c r="K55" s="12"/>
    </row>
    <row r="56" spans="1:12" x14ac:dyDescent="0.25">
      <c r="A56" s="8" t="s">
        <v>33</v>
      </c>
      <c r="B56" s="9" t="s">
        <v>8</v>
      </c>
      <c r="C56" s="10" t="s">
        <v>8</v>
      </c>
      <c r="D56" s="11"/>
      <c r="E56" s="12"/>
      <c r="G56" s="8" t="s">
        <v>33</v>
      </c>
      <c r="H56" s="9" t="s">
        <v>8</v>
      </c>
      <c r="I56" s="10" t="s">
        <v>8</v>
      </c>
      <c r="J56" s="11">
        <f t="shared" si="6"/>
        <v>220000</v>
      </c>
      <c r="K56" s="12"/>
    </row>
    <row r="57" spans="1:12" x14ac:dyDescent="0.25">
      <c r="A57" s="8" t="s">
        <v>33</v>
      </c>
      <c r="B57" s="9" t="s">
        <v>47</v>
      </c>
      <c r="C57" s="10" t="s">
        <v>76</v>
      </c>
      <c r="D57" s="11">
        <f t="shared" ref="D57" si="7">D11</f>
        <v>455000</v>
      </c>
      <c r="E57" s="12"/>
      <c r="G57" s="8" t="s">
        <v>33</v>
      </c>
      <c r="H57" s="9" t="s">
        <v>47</v>
      </c>
      <c r="I57" s="10" t="s">
        <v>76</v>
      </c>
      <c r="J57" s="11">
        <f t="shared" ref="J57:J59" si="8">J11</f>
        <v>424000</v>
      </c>
      <c r="K57" s="12"/>
    </row>
    <row r="58" spans="1:12" x14ac:dyDescent="0.25">
      <c r="A58" s="8" t="s">
        <v>33</v>
      </c>
      <c r="B58" s="9" t="s">
        <v>47</v>
      </c>
      <c r="C58" s="10" t="s">
        <v>6</v>
      </c>
      <c r="D58" s="11">
        <f t="shared" ref="D58" si="9">D12</f>
        <v>145000</v>
      </c>
      <c r="E58" s="12"/>
      <c r="G58" s="8" t="s">
        <v>33</v>
      </c>
      <c r="H58" s="9" t="s">
        <v>47</v>
      </c>
      <c r="I58" s="10" t="s">
        <v>6</v>
      </c>
      <c r="J58" s="11">
        <f t="shared" si="8"/>
        <v>161000</v>
      </c>
      <c r="K58" s="12"/>
      <c r="L58" s="1">
        <f>(SUM(J57:J63)-K60)/SUM(K70:K75)</f>
        <v>1.9863179327455542</v>
      </c>
    </row>
    <row r="59" spans="1:12" x14ac:dyDescent="0.25">
      <c r="A59" s="8" t="s">
        <v>33</v>
      </c>
      <c r="B59" s="9" t="s">
        <v>47</v>
      </c>
      <c r="C59" s="10" t="s">
        <v>2</v>
      </c>
      <c r="D59" s="11">
        <f t="shared" ref="D59" si="10">D13</f>
        <v>167000</v>
      </c>
      <c r="E59" s="12"/>
      <c r="G59" s="8" t="s">
        <v>33</v>
      </c>
      <c r="H59" s="9" t="s">
        <v>47</v>
      </c>
      <c r="I59" s="10" t="s">
        <v>2</v>
      </c>
      <c r="J59" s="11">
        <f t="shared" si="8"/>
        <v>163000</v>
      </c>
      <c r="K59" s="12"/>
    </row>
    <row r="60" spans="1:12" x14ac:dyDescent="0.25">
      <c r="A60" s="8" t="s">
        <v>33</v>
      </c>
      <c r="B60" s="9" t="s">
        <v>47</v>
      </c>
      <c r="C60" s="10" t="s">
        <v>85</v>
      </c>
      <c r="D60" s="11"/>
      <c r="E60" s="12">
        <f t="shared" si="3"/>
        <v>115000</v>
      </c>
      <c r="G60" s="8" t="s">
        <v>33</v>
      </c>
      <c r="H60" s="9" t="s">
        <v>47</v>
      </c>
      <c r="I60" s="10" t="s">
        <v>85</v>
      </c>
      <c r="J60" s="11"/>
      <c r="K60" s="12">
        <f t="shared" si="4"/>
        <v>95000</v>
      </c>
    </row>
    <row r="61" spans="1:12" x14ac:dyDescent="0.25">
      <c r="A61" s="8" t="s">
        <v>33</v>
      </c>
      <c r="B61" s="9" t="s">
        <v>47</v>
      </c>
      <c r="C61" s="10" t="s">
        <v>48</v>
      </c>
      <c r="D61" s="11">
        <f t="shared" ref="D61" si="11">D15</f>
        <v>82000</v>
      </c>
      <c r="E61" s="12"/>
      <c r="G61" s="8" t="s">
        <v>33</v>
      </c>
      <c r="H61" s="9" t="s">
        <v>47</v>
      </c>
      <c r="I61" s="10" t="s">
        <v>48</v>
      </c>
      <c r="J61" s="11">
        <f t="shared" ref="J61:J63" si="12">J15</f>
        <v>41000</v>
      </c>
      <c r="K61" s="12"/>
    </row>
    <row r="62" spans="1:12" x14ac:dyDescent="0.25">
      <c r="A62" s="8" t="s">
        <v>33</v>
      </c>
      <c r="B62" s="9" t="s">
        <v>47</v>
      </c>
      <c r="C62" s="10" t="s">
        <v>49</v>
      </c>
      <c r="D62" s="11">
        <f t="shared" ref="D62" si="13">D16</f>
        <v>153000</v>
      </c>
      <c r="E62" s="12"/>
      <c r="G62" s="8" t="s">
        <v>33</v>
      </c>
      <c r="H62" s="9" t="s">
        <v>47</v>
      </c>
      <c r="I62" s="10" t="s">
        <v>49</v>
      </c>
      <c r="J62" s="11">
        <f t="shared" si="12"/>
        <v>96000</v>
      </c>
      <c r="K62" s="12"/>
    </row>
    <row r="63" spans="1:12" x14ac:dyDescent="0.25">
      <c r="A63" s="8" t="s">
        <v>33</v>
      </c>
      <c r="B63" s="9" t="s">
        <v>50</v>
      </c>
      <c r="C63" s="10" t="s">
        <v>51</v>
      </c>
      <c r="D63" s="11">
        <f t="shared" ref="D63" si="14">D17</f>
        <v>39350</v>
      </c>
      <c r="E63" s="12"/>
      <c r="G63" s="8" t="s">
        <v>33</v>
      </c>
      <c r="H63" s="9" t="s">
        <v>50</v>
      </c>
      <c r="I63" s="10" t="s">
        <v>51</v>
      </c>
      <c r="J63" s="11">
        <f t="shared" si="12"/>
        <v>31410</v>
      </c>
      <c r="K63" s="12"/>
    </row>
    <row r="64" spans="1:12" x14ac:dyDescent="0.25">
      <c r="A64" s="8" t="s">
        <v>34</v>
      </c>
      <c r="B64" s="9" t="s">
        <v>20</v>
      </c>
      <c r="C64" s="10" t="s">
        <v>86</v>
      </c>
      <c r="D64" s="11"/>
      <c r="E64" s="12">
        <f t="shared" si="3"/>
        <v>500000</v>
      </c>
      <c r="G64" s="8" t="s">
        <v>34</v>
      </c>
      <c r="H64" s="9" t="s">
        <v>20</v>
      </c>
      <c r="I64" s="10" t="s">
        <v>86</v>
      </c>
      <c r="J64" s="11"/>
      <c r="K64" s="12">
        <f t="shared" si="4"/>
        <v>500000</v>
      </c>
    </row>
    <row r="65" spans="1:11" x14ac:dyDescent="0.25">
      <c r="A65" s="8" t="s">
        <v>34</v>
      </c>
      <c r="B65" s="9" t="s">
        <v>20</v>
      </c>
      <c r="C65" s="10" t="s">
        <v>87</v>
      </c>
      <c r="D65" s="11"/>
      <c r="E65" s="12">
        <f t="shared" si="3"/>
        <v>60000</v>
      </c>
      <c r="G65" s="8" t="s">
        <v>34</v>
      </c>
      <c r="H65" s="9" t="s">
        <v>20</v>
      </c>
      <c r="I65" s="10" t="s">
        <v>87</v>
      </c>
      <c r="J65" s="11"/>
      <c r="K65" s="12">
        <f t="shared" si="4"/>
        <v>60000</v>
      </c>
    </row>
    <row r="66" spans="1:11" x14ac:dyDescent="0.25">
      <c r="A66" s="8" t="s">
        <v>34</v>
      </c>
      <c r="B66" s="9" t="s">
        <v>20</v>
      </c>
      <c r="C66" s="10" t="s">
        <v>88</v>
      </c>
      <c r="D66" s="11"/>
      <c r="E66" s="12">
        <f>E20+'ΘΕΜΑ1 ΑΠΟΤΕΛΕΣΜΑΤΑ'!B20</f>
        <v>24101</v>
      </c>
      <c r="G66" s="8" t="s">
        <v>34</v>
      </c>
      <c r="H66" s="9" t="s">
        <v>20</v>
      </c>
      <c r="I66" s="10" t="s">
        <v>88</v>
      </c>
      <c r="J66" s="11"/>
      <c r="K66" s="12">
        <f>K20+'ΘΕΜΑ1 ΑΠΟΤΕΛΕΣΜΑΤΑ'!E20</f>
        <v>28447</v>
      </c>
    </row>
    <row r="67" spans="1:11" x14ac:dyDescent="0.25">
      <c r="A67" s="8" t="s">
        <v>34</v>
      </c>
      <c r="B67" s="9" t="s">
        <v>20</v>
      </c>
      <c r="C67" s="10" t="s">
        <v>89</v>
      </c>
      <c r="D67" s="11"/>
      <c r="E67" s="12">
        <f>E21+'ΘΕΜΑ1 ΑΠΟΤΕΛΕΣΜΑΤΑ'!B18-'ΘΕΜΑ1 ΑΠΟΤΕΛΕΣΜΑΤΑ'!B20-'ΘΕΜΑ1 ΑΠΟΤΕΛΕΣΜΑΤΑ'!B21</f>
        <v>516280</v>
      </c>
      <c r="G67" s="8" t="s">
        <v>34</v>
      </c>
      <c r="H67" s="9" t="s">
        <v>20</v>
      </c>
      <c r="I67" s="10" t="s">
        <v>89</v>
      </c>
      <c r="J67" s="11"/>
      <c r="K67" s="12">
        <f>K21+'ΘΕΜΑ1 ΑΠΟΤΕΛΕΣΜΑΤΑ'!E18-'ΘΕΜΑ1 ΑΠΟΤΕΛΕΣΜΑΤΑ'!E20-'ΘΕΜΑ1 ΑΠΟΤΕΛΕΣΜΑΤΑ'!E21</f>
        <v>569959</v>
      </c>
    </row>
    <row r="68" spans="1:11" x14ac:dyDescent="0.25">
      <c r="A68" s="8" t="s">
        <v>34</v>
      </c>
      <c r="B68" s="9" t="s">
        <v>20</v>
      </c>
      <c r="C68" s="10" t="s">
        <v>94</v>
      </c>
      <c r="D68" s="11">
        <f t="shared" ref="D68" si="15">D22</f>
        <v>40000</v>
      </c>
      <c r="E68" s="12"/>
      <c r="G68" s="8" t="s">
        <v>34</v>
      </c>
      <c r="H68" s="9" t="s">
        <v>20</v>
      </c>
      <c r="I68" s="10" t="s">
        <v>94</v>
      </c>
      <c r="J68" s="11">
        <f t="shared" ref="J68" si="16">J22</f>
        <v>40000</v>
      </c>
      <c r="K68" s="12"/>
    </row>
    <row r="69" spans="1:11" x14ac:dyDescent="0.25">
      <c r="A69" s="8" t="s">
        <v>34</v>
      </c>
      <c r="B69" s="9" t="s">
        <v>52</v>
      </c>
      <c r="C69" s="10" t="s">
        <v>90</v>
      </c>
      <c r="D69" s="11"/>
      <c r="E69" s="12">
        <f t="shared" si="3"/>
        <v>450000</v>
      </c>
      <c r="G69" s="8" t="s">
        <v>34</v>
      </c>
      <c r="H69" s="9" t="s">
        <v>52</v>
      </c>
      <c r="I69" s="10" t="s">
        <v>90</v>
      </c>
      <c r="J69" s="11"/>
      <c r="K69" s="12">
        <f t="shared" si="4"/>
        <v>500000</v>
      </c>
    </row>
    <row r="70" spans="1:11" x14ac:dyDescent="0.25">
      <c r="A70" s="8" t="s">
        <v>34</v>
      </c>
      <c r="B70" s="9" t="s">
        <v>54</v>
      </c>
      <c r="C70" s="10" t="s">
        <v>77</v>
      </c>
      <c r="D70" s="11"/>
      <c r="E70" s="12">
        <f t="shared" si="3"/>
        <v>225000</v>
      </c>
      <c r="G70" s="8" t="s">
        <v>34</v>
      </c>
      <c r="H70" s="9" t="s">
        <v>54</v>
      </c>
      <c r="I70" s="10" t="s">
        <v>77</v>
      </c>
      <c r="J70" s="11"/>
      <c r="K70" s="12">
        <f t="shared" si="4"/>
        <v>192000</v>
      </c>
    </row>
    <row r="71" spans="1:11" x14ac:dyDescent="0.25">
      <c r="A71" s="8" t="s">
        <v>34</v>
      </c>
      <c r="B71" s="9" t="s">
        <v>54</v>
      </c>
      <c r="C71" s="10" t="s">
        <v>7</v>
      </c>
      <c r="D71" s="11"/>
      <c r="E71" s="12">
        <f t="shared" si="3"/>
        <v>102000</v>
      </c>
      <c r="G71" s="8" t="s">
        <v>34</v>
      </c>
      <c r="H71" s="9" t="s">
        <v>54</v>
      </c>
      <c r="I71" s="10" t="s">
        <v>7</v>
      </c>
      <c r="J71" s="11"/>
      <c r="K71" s="12">
        <f t="shared" si="4"/>
        <v>98000</v>
      </c>
    </row>
    <row r="72" spans="1:11" x14ac:dyDescent="0.25">
      <c r="A72" s="8" t="s">
        <v>34</v>
      </c>
      <c r="B72" s="9" t="s">
        <v>54</v>
      </c>
      <c r="C72" s="10" t="s">
        <v>55</v>
      </c>
      <c r="D72" s="11"/>
      <c r="E72" s="12">
        <f t="shared" si="3"/>
        <v>35000</v>
      </c>
      <c r="G72" s="8" t="s">
        <v>34</v>
      </c>
      <c r="H72" s="9" t="s">
        <v>54</v>
      </c>
      <c r="I72" s="10" t="s">
        <v>55</v>
      </c>
      <c r="J72" s="11"/>
      <c r="K72" s="12">
        <f t="shared" si="4"/>
        <v>23000</v>
      </c>
    </row>
    <row r="73" spans="1:11" x14ac:dyDescent="0.25">
      <c r="A73" s="8" t="s">
        <v>34</v>
      </c>
      <c r="B73" s="9" t="s">
        <v>54</v>
      </c>
      <c r="C73" s="10" t="s">
        <v>91</v>
      </c>
      <c r="D73" s="11"/>
      <c r="E73" s="12">
        <f>E27+'ΘΕΜΑ1 ΑΠΟΤΕΛΕΣΜΑΤΑ'!B21</f>
        <v>32272</v>
      </c>
      <c r="G73" s="8" t="s">
        <v>34</v>
      </c>
      <c r="H73" s="9" t="s">
        <v>54</v>
      </c>
      <c r="I73" s="10" t="s">
        <v>91</v>
      </c>
      <c r="J73" s="11"/>
      <c r="K73" s="12">
        <f>K27+'ΘΕΜΑ1 ΑΠΟΤΕΛΕΣΜΑΤΑ'!E21</f>
        <v>33204</v>
      </c>
    </row>
    <row r="74" spans="1:11" x14ac:dyDescent="0.25">
      <c r="A74" s="8" t="s">
        <v>34</v>
      </c>
      <c r="B74" s="9" t="s">
        <v>54</v>
      </c>
      <c r="C74" s="10" t="s">
        <v>92</v>
      </c>
      <c r="D74" s="11"/>
      <c r="E74" s="12">
        <f t="shared" si="3"/>
        <v>9857</v>
      </c>
      <c r="G74" s="8" t="s">
        <v>34</v>
      </c>
      <c r="H74" s="9" t="s">
        <v>54</v>
      </c>
      <c r="I74" s="10" t="s">
        <v>92</v>
      </c>
      <c r="J74" s="11"/>
      <c r="K74" s="12">
        <f t="shared" si="4"/>
        <v>10054</v>
      </c>
    </row>
    <row r="75" spans="1:11" x14ac:dyDescent="0.25">
      <c r="A75" s="8" t="s">
        <v>34</v>
      </c>
      <c r="B75" s="9" t="s">
        <v>54</v>
      </c>
      <c r="C75" s="10" t="s">
        <v>93</v>
      </c>
      <c r="D75" s="11"/>
      <c r="E75" s="12">
        <f>E29-'ΘΕΜΑ1 ΑΠΟΤΕΛΕΣΜΑΤΑ'!B17</f>
        <v>54340</v>
      </c>
      <c r="G75" s="8" t="s">
        <v>34</v>
      </c>
      <c r="H75" s="9" t="s">
        <v>54</v>
      </c>
      <c r="I75" s="10" t="s">
        <v>93</v>
      </c>
      <c r="J75" s="11"/>
      <c r="K75" s="12">
        <f>K29-'ΘΕΜΑ1 ΑΠΟΤΕΛΕΣΜΑΤΑ'!E17</f>
        <v>57276</v>
      </c>
    </row>
    <row r="76" spans="1:11" x14ac:dyDescent="0.25">
      <c r="A76" s="8" t="s">
        <v>35</v>
      </c>
      <c r="B76" s="9" t="s">
        <v>59</v>
      </c>
      <c r="C76" s="10" t="s">
        <v>82</v>
      </c>
      <c r="D76" s="11"/>
      <c r="E76" s="12"/>
      <c r="G76" s="8" t="s">
        <v>35</v>
      </c>
      <c r="H76" s="9" t="s">
        <v>59</v>
      </c>
      <c r="I76" s="10" t="s">
        <v>82</v>
      </c>
      <c r="J76" s="11"/>
      <c r="K76" s="12"/>
    </row>
    <row r="77" spans="1:11" x14ac:dyDescent="0.25">
      <c r="A77" s="8" t="s">
        <v>35</v>
      </c>
      <c r="B77" s="9" t="s">
        <v>59</v>
      </c>
      <c r="C77" s="10" t="s">
        <v>78</v>
      </c>
      <c r="D77" s="11"/>
      <c r="E77" s="12"/>
      <c r="G77" s="8" t="s">
        <v>35</v>
      </c>
      <c r="H77" s="9" t="s">
        <v>59</v>
      </c>
      <c r="I77" s="10" t="s">
        <v>78</v>
      </c>
      <c r="J77" s="11"/>
      <c r="K77" s="12"/>
    </row>
    <row r="78" spans="1:11" x14ac:dyDescent="0.25">
      <c r="A78" s="8" t="s">
        <v>35</v>
      </c>
      <c r="B78" s="9" t="s">
        <v>59</v>
      </c>
      <c r="C78" s="10" t="s">
        <v>95</v>
      </c>
      <c r="D78" s="11"/>
      <c r="E78" s="12"/>
      <c r="G78" s="8" t="s">
        <v>35</v>
      </c>
      <c r="H78" s="9" t="s">
        <v>59</v>
      </c>
      <c r="I78" s="10" t="s">
        <v>95</v>
      </c>
      <c r="J78" s="11"/>
      <c r="K78" s="12"/>
    </row>
    <row r="79" spans="1:11" x14ac:dyDescent="0.25">
      <c r="A79" s="8" t="s">
        <v>35</v>
      </c>
      <c r="B79" s="9" t="s">
        <v>59</v>
      </c>
      <c r="C79" s="10" t="s">
        <v>56</v>
      </c>
      <c r="D79" s="11"/>
      <c r="E79" s="12"/>
      <c r="G79" s="8" t="s">
        <v>35</v>
      </c>
      <c r="H79" s="9" t="s">
        <v>59</v>
      </c>
      <c r="I79" s="10" t="s">
        <v>56</v>
      </c>
      <c r="J79" s="11"/>
      <c r="K79" s="12"/>
    </row>
    <row r="80" spans="1:11" x14ac:dyDescent="0.25">
      <c r="A80" s="8" t="s">
        <v>35</v>
      </c>
      <c r="B80" s="9" t="s">
        <v>59</v>
      </c>
      <c r="C80" s="10" t="s">
        <v>5</v>
      </c>
      <c r="D80" s="11"/>
      <c r="E80" s="12"/>
      <c r="G80" s="8" t="s">
        <v>35</v>
      </c>
      <c r="H80" s="9" t="s">
        <v>59</v>
      </c>
      <c r="I80" s="10" t="s">
        <v>5</v>
      </c>
      <c r="J80" s="11"/>
      <c r="K80" s="12"/>
    </row>
    <row r="81" spans="1:11" x14ac:dyDescent="0.25">
      <c r="A81" s="8" t="s">
        <v>35</v>
      </c>
      <c r="B81" s="9" t="s">
        <v>59</v>
      </c>
      <c r="C81" s="10" t="s">
        <v>64</v>
      </c>
      <c r="D81" s="11"/>
      <c r="E81" s="12"/>
      <c r="G81" s="8" t="s">
        <v>35</v>
      </c>
      <c r="H81" s="9" t="s">
        <v>59</v>
      </c>
      <c r="I81" s="10" t="s">
        <v>64</v>
      </c>
      <c r="J81" s="11"/>
      <c r="K81" s="12"/>
    </row>
    <row r="82" spans="1:11" x14ac:dyDescent="0.25">
      <c r="A82" s="8" t="s">
        <v>35</v>
      </c>
      <c r="B82" s="9" t="s">
        <v>59</v>
      </c>
      <c r="C82" s="10" t="s">
        <v>81</v>
      </c>
      <c r="D82" s="11"/>
      <c r="E82" s="12"/>
      <c r="G82" s="8" t="s">
        <v>35</v>
      </c>
      <c r="H82" s="9" t="s">
        <v>59</v>
      </c>
      <c r="I82" s="10" t="s">
        <v>81</v>
      </c>
      <c r="J82" s="11"/>
      <c r="K82" s="12"/>
    </row>
    <row r="83" spans="1:11" x14ac:dyDescent="0.25">
      <c r="A83" s="8" t="s">
        <v>35</v>
      </c>
      <c r="B83" s="9" t="s">
        <v>29</v>
      </c>
      <c r="C83" s="10" t="s">
        <v>57</v>
      </c>
      <c r="D83" s="11"/>
      <c r="E83" s="12"/>
      <c r="G83" s="8" t="s">
        <v>35</v>
      </c>
      <c r="H83" s="9" t="s">
        <v>29</v>
      </c>
      <c r="I83" s="10" t="s">
        <v>57</v>
      </c>
      <c r="J83" s="11"/>
      <c r="K83" s="12"/>
    </row>
    <row r="84" spans="1:11" x14ac:dyDescent="0.25">
      <c r="A84" s="8" t="s">
        <v>35</v>
      </c>
      <c r="B84" s="9" t="s">
        <v>29</v>
      </c>
      <c r="C84" s="10" t="s">
        <v>58</v>
      </c>
      <c r="D84" s="11"/>
      <c r="E84" s="12"/>
      <c r="G84" s="8" t="s">
        <v>35</v>
      </c>
      <c r="H84" s="9" t="s">
        <v>29</v>
      </c>
      <c r="I84" s="10" t="s">
        <v>58</v>
      </c>
      <c r="J84" s="11"/>
      <c r="K84" s="12"/>
    </row>
    <row r="85" spans="1:11" x14ac:dyDescent="0.25">
      <c r="A85" s="8" t="s">
        <v>35</v>
      </c>
      <c r="B85" s="9" t="s">
        <v>98</v>
      </c>
      <c r="C85" s="10" t="s">
        <v>80</v>
      </c>
      <c r="D85" s="11"/>
      <c r="E85" s="12"/>
      <c r="G85" s="8" t="s">
        <v>35</v>
      </c>
      <c r="H85" s="9" t="s">
        <v>98</v>
      </c>
      <c r="I85" s="10" t="s">
        <v>80</v>
      </c>
      <c r="J85" s="11"/>
      <c r="K85" s="12"/>
    </row>
    <row r="86" spans="1:11" x14ac:dyDescent="0.25">
      <c r="A86" s="8" t="s">
        <v>35</v>
      </c>
      <c r="B86" s="9" t="s">
        <v>98</v>
      </c>
      <c r="C86" s="10" t="s">
        <v>99</v>
      </c>
      <c r="D86" s="11"/>
      <c r="E86" s="12"/>
      <c r="G86" s="8" t="s">
        <v>35</v>
      </c>
      <c r="H86" s="9" t="s">
        <v>98</v>
      </c>
      <c r="I86" s="10" t="s">
        <v>99</v>
      </c>
      <c r="J86" s="11"/>
      <c r="K86" s="12"/>
    </row>
    <row r="87" spans="1:11" x14ac:dyDescent="0.25">
      <c r="A87" s="8" t="s">
        <v>35</v>
      </c>
      <c r="B87" s="9" t="s">
        <v>60</v>
      </c>
      <c r="C87" s="10" t="s">
        <v>61</v>
      </c>
      <c r="D87" s="11"/>
      <c r="E87" s="12"/>
      <c r="G87" s="8" t="s">
        <v>35</v>
      </c>
      <c r="H87" s="9" t="s">
        <v>60</v>
      </c>
      <c r="I87" s="10" t="s">
        <v>61</v>
      </c>
      <c r="J87" s="11"/>
      <c r="K87" s="12"/>
    </row>
    <row r="88" spans="1:11" x14ac:dyDescent="0.25">
      <c r="A88" s="8" t="s">
        <v>36</v>
      </c>
      <c r="B88" s="9" t="s">
        <v>59</v>
      </c>
      <c r="C88" s="10" t="s">
        <v>79</v>
      </c>
      <c r="D88" s="11"/>
      <c r="E88" s="12"/>
      <c r="G88" s="8" t="s">
        <v>36</v>
      </c>
      <c r="H88" s="9" t="s">
        <v>59</v>
      </c>
      <c r="I88" s="10" t="s">
        <v>79</v>
      </c>
      <c r="J88" s="11"/>
      <c r="K88" s="12"/>
    </row>
    <row r="89" spans="1:11" x14ac:dyDescent="0.25">
      <c r="A89" s="13" t="s">
        <v>36</v>
      </c>
      <c r="B89" s="14" t="s">
        <v>62</v>
      </c>
      <c r="C89" s="15" t="s">
        <v>63</v>
      </c>
      <c r="D89" s="16"/>
      <c r="E89" s="17"/>
      <c r="G89" s="13" t="s">
        <v>36</v>
      </c>
      <c r="H89" s="14" t="s">
        <v>62</v>
      </c>
      <c r="I89" s="15" t="s">
        <v>63</v>
      </c>
      <c r="J89" s="16"/>
      <c r="K89" s="17"/>
    </row>
    <row r="90" spans="1:11" ht="16.5" thickBot="1" x14ac:dyDescent="0.3">
      <c r="A90" s="18"/>
      <c r="B90" s="19"/>
      <c r="C90" s="20" t="s">
        <v>10</v>
      </c>
      <c r="D90" s="21">
        <f>SUM(D50:D89)</f>
        <v>2506850</v>
      </c>
      <c r="E90" s="22">
        <f>SUM(E50:E89)</f>
        <v>2506850</v>
      </c>
      <c r="G90" s="18"/>
      <c r="H90" s="19"/>
      <c r="I90" s="20" t="s">
        <v>10</v>
      </c>
      <c r="J90" s="21">
        <f>SUM(J50:J89)</f>
        <v>2595340</v>
      </c>
      <c r="K90" s="22">
        <f>SUM(K50:K89)</f>
        <v>2595340</v>
      </c>
    </row>
    <row r="91" spans="1:11" x14ac:dyDescent="0.25">
      <c r="E91" s="24">
        <f>D90-E90</f>
        <v>0</v>
      </c>
      <c r="K91" s="24">
        <f>J90-K90</f>
        <v>0</v>
      </c>
    </row>
    <row r="93" spans="1:11" x14ac:dyDescent="0.25">
      <c r="A93" s="26"/>
      <c r="B93" s="26"/>
      <c r="C93" s="26"/>
      <c r="D93" s="26"/>
    </row>
    <row r="94" spans="1:11" x14ac:dyDescent="0.25">
      <c r="A94" s="26"/>
      <c r="B94" s="26"/>
      <c r="C94" s="26"/>
      <c r="D94" s="26"/>
    </row>
  </sheetData>
  <sortState xmlns:xlrd2="http://schemas.microsoft.com/office/spreadsheetml/2017/richdata2" ref="A2:D70">
    <sortCondition ref="A2:A70"/>
  </sortState>
  <mergeCells count="8">
    <mergeCell ref="G47:K47"/>
    <mergeCell ref="G48:K48"/>
    <mergeCell ref="A48:E48"/>
    <mergeCell ref="A1:E1"/>
    <mergeCell ref="A2:E2"/>
    <mergeCell ref="G1:K1"/>
    <mergeCell ref="G2:K2"/>
    <mergeCell ref="A47:E47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showGridLines="0" topLeftCell="A24" workbookViewId="0">
      <selection activeCell="A23" sqref="A23:E41"/>
    </sheetView>
  </sheetViews>
  <sheetFormatPr defaultColWidth="8.85546875" defaultRowHeight="15.75" x14ac:dyDescent="0.25"/>
  <cols>
    <col min="1" max="1" width="37.28515625" style="27" bestFit="1" customWidth="1"/>
    <col min="2" max="2" width="20.7109375" style="27" customWidth="1"/>
    <col min="3" max="3" width="8.85546875" style="27"/>
    <col min="4" max="4" width="37.28515625" style="27" bestFit="1" customWidth="1"/>
    <col min="5" max="5" width="20.7109375" style="27" customWidth="1"/>
    <col min="6" max="16384" width="8.85546875" style="27"/>
  </cols>
  <sheetData>
    <row r="1" spans="1:5" x14ac:dyDescent="0.25">
      <c r="A1" s="89" t="s">
        <v>97</v>
      </c>
      <c r="B1" s="90"/>
      <c r="D1" s="89" t="s">
        <v>114</v>
      </c>
      <c r="E1" s="90"/>
    </row>
    <row r="2" spans="1:5" x14ac:dyDescent="0.25">
      <c r="A2" s="85" t="s">
        <v>38</v>
      </c>
      <c r="B2" s="86"/>
      <c r="D2" s="85" t="s">
        <v>38</v>
      </c>
      <c r="E2" s="86"/>
    </row>
    <row r="3" spans="1:5" x14ac:dyDescent="0.25">
      <c r="A3" s="28" t="str">
        <f>'ΘΕΜΑ1 ΙΣΟΖΥΓΙΟ'!C42</f>
        <v>Πωλήσεις</v>
      </c>
      <c r="B3" s="29">
        <f>'ΘΕΜΑ1 ΙΣΟΖΥΓΙΟ'!E42</f>
        <v>1434879</v>
      </c>
      <c r="C3" s="30"/>
      <c r="D3" s="28" t="str">
        <f>'ΘΕΜΑ1 ΙΣΟΖΥΓΙΟ'!I42</f>
        <v>Πωλήσεις</v>
      </c>
      <c r="E3" s="29">
        <f>'ΘΕΜΑ1 ΙΣΟΖΥΓΙΟ'!K42</f>
        <v>1556844</v>
      </c>
    </row>
    <row r="4" spans="1:5" x14ac:dyDescent="0.25">
      <c r="A4" s="28" t="str">
        <f>'ΘΕΜΑ1 ΙΣΟΖΥΓΙΟ'!C30</f>
        <v>Κόστος Πωληθέντων</v>
      </c>
      <c r="B4" s="31">
        <f>-'ΘΕΜΑ1 ΙΣΟΖΥΓΙΟ'!D30</f>
        <v>-926156</v>
      </c>
      <c r="C4" s="30"/>
      <c r="D4" s="28" t="str">
        <f>'ΘΕΜΑ1 ΙΣΟΖΥΓΙΟ'!I30</f>
        <v>Κόστος Πωληθέντων</v>
      </c>
      <c r="E4" s="31">
        <f>-'ΘΕΜΑ1 ΙΣΟΖΥΓΙΟ'!J30</f>
        <v>-1009510</v>
      </c>
    </row>
    <row r="5" spans="1:5" x14ac:dyDescent="0.25">
      <c r="A5" s="32" t="s">
        <v>102</v>
      </c>
      <c r="B5" s="33">
        <f>SUM(B3:B4)</f>
        <v>508723</v>
      </c>
      <c r="C5" s="30"/>
      <c r="D5" s="32" t="s">
        <v>102</v>
      </c>
      <c r="E5" s="33">
        <f>SUM(E3:E4)</f>
        <v>547334</v>
      </c>
    </row>
    <row r="6" spans="1:5" x14ac:dyDescent="0.25">
      <c r="A6" s="28" t="s">
        <v>30</v>
      </c>
      <c r="B6" s="29">
        <f>-('ΘΕΜΑ1 ΙΣΟΖΥΓΙΟ'!D31+'ΘΕΜΑ1 ΙΣΟΖΥΓΙΟ'!D32)</f>
        <v>-184813</v>
      </c>
      <c r="C6" s="30"/>
      <c r="D6" s="28" t="s">
        <v>30</v>
      </c>
      <c r="E6" s="29">
        <f>-('ΘΕΜΑ1 ΙΣΟΖΥΓΙΟ'!J31+'ΘΕΜΑ1 ΙΣΟΖΥΓΙΟ'!J32)</f>
        <v>-188509</v>
      </c>
    </row>
    <row r="7" spans="1:5" x14ac:dyDescent="0.25">
      <c r="A7" s="28" t="s">
        <v>56</v>
      </c>
      <c r="B7" s="29">
        <f>-'ΘΕΜΑ1 ΙΣΟΖΥΓΙΟ'!D33</f>
        <v>-50000</v>
      </c>
      <c r="C7" s="30"/>
      <c r="D7" s="28" t="s">
        <v>56</v>
      </c>
      <c r="E7" s="29">
        <f>-'ΘΕΜΑ1 ΙΣΟΖΥΓΙΟ'!J33</f>
        <v>-60000</v>
      </c>
    </row>
    <row r="8" spans="1:5" x14ac:dyDescent="0.25">
      <c r="A8" s="28" t="s">
        <v>103</v>
      </c>
      <c r="B8" s="29">
        <f>-'ΘΕΜΑ1 ΙΣΟΖΥΓΙΟ'!D35</f>
        <v>-42000</v>
      </c>
      <c r="C8" s="30"/>
      <c r="D8" s="28" t="s">
        <v>103</v>
      </c>
      <c r="E8" s="29">
        <f>-'ΘΕΜΑ1 ΙΣΟΖΥΓΙΟ'!J35</f>
        <v>-38000</v>
      </c>
    </row>
    <row r="9" spans="1:5" x14ac:dyDescent="0.25">
      <c r="A9" s="28" t="s">
        <v>29</v>
      </c>
      <c r="B9" s="29">
        <f>-'ΘΕΜΑ1 ΙΣΟΖΥΓΙΟ'!D37-'ΘΕΜΑ1 ΙΣΟΖΥΓΙΟ'!D38</f>
        <v>-47000</v>
      </c>
      <c r="C9" s="30"/>
      <c r="D9" s="28" t="s">
        <v>29</v>
      </c>
      <c r="E9" s="29">
        <f>-'ΘΕΜΑ1 ΙΣΟΖΥΓΙΟ'!J37-'ΘΕΜΑ1 ΙΣΟΖΥΓΙΟ'!J38</f>
        <v>-48900</v>
      </c>
    </row>
    <row r="10" spans="1:5" x14ac:dyDescent="0.25">
      <c r="A10" s="28" t="s">
        <v>5</v>
      </c>
      <c r="B10" s="29">
        <f>-'ΘΕΜΑ1 ΙΣΟΖΥΓΙΟ'!D34</f>
        <v>-48000</v>
      </c>
      <c r="C10" s="30"/>
      <c r="D10" s="28" t="s">
        <v>5</v>
      </c>
      <c r="E10" s="29">
        <f>-'ΘΕΜΑ1 ΙΣΟΖΥΓΙΟ'!J34</f>
        <v>-48000</v>
      </c>
    </row>
    <row r="11" spans="1:5" x14ac:dyDescent="0.25">
      <c r="A11" s="28" t="s">
        <v>65</v>
      </c>
      <c r="B11" s="31">
        <f>-'ΘΕΜΑ1 ΙΣΟΖΥΓΙΟ'!D36</f>
        <v>-10200</v>
      </c>
      <c r="C11" s="30"/>
      <c r="D11" s="28" t="s">
        <v>65</v>
      </c>
      <c r="E11" s="31">
        <f>-'ΘΕΜΑ1 ΙΣΟΖΥΓΙΟ'!J36</f>
        <v>-11300</v>
      </c>
    </row>
    <row r="12" spans="1:5" x14ac:dyDescent="0.25">
      <c r="A12" s="34" t="s">
        <v>104</v>
      </c>
      <c r="B12" s="33">
        <f>SUM(B5:B11)</f>
        <v>126710</v>
      </c>
      <c r="C12" s="30"/>
      <c r="D12" s="34" t="s">
        <v>104</v>
      </c>
      <c r="E12" s="33">
        <f>SUM(E5:E11)</f>
        <v>152625</v>
      </c>
    </row>
    <row r="13" spans="1:5" x14ac:dyDescent="0.25">
      <c r="A13" s="35" t="s">
        <v>66</v>
      </c>
      <c r="B13" s="29">
        <f>'ΘΕΜΑ1 ΙΣΟΖΥΓΙΟ'!E43</f>
        <v>35000</v>
      </c>
      <c r="C13" s="30"/>
      <c r="D13" s="35" t="s">
        <v>66</v>
      </c>
      <c r="E13" s="29">
        <f>'ΘΕΜΑ1 ΙΣΟΖΥΓΙΟ'!K43</f>
        <v>5000</v>
      </c>
    </row>
    <row r="14" spans="1:5" x14ac:dyDescent="0.25">
      <c r="A14" s="35" t="s">
        <v>105</v>
      </c>
      <c r="B14" s="29">
        <f>-'ΘΕΜΑ1 ΙΣΟΖΥΓΙΟ'!D39-'ΘΕΜΑ1 ΙΣΟΖΥΓΙΟ'!D40</f>
        <v>-37000</v>
      </c>
      <c r="C14" s="30"/>
      <c r="D14" s="35" t="s">
        <v>105</v>
      </c>
      <c r="E14" s="29">
        <f>-'ΘΕΜΑ1 ΙΣΟΖΥΓΙΟ'!J39-'ΘΕΜΑ1 ΙΣΟΖΥΓΙΟ'!J40</f>
        <v>-37600</v>
      </c>
    </row>
    <row r="15" spans="1:5" x14ac:dyDescent="0.25">
      <c r="A15" s="35" t="s">
        <v>67</v>
      </c>
      <c r="B15" s="31">
        <f>-'ΘΕΜΑ1 ΙΣΟΖΥΓΙΟ'!D41</f>
        <v>-15350</v>
      </c>
      <c r="C15" s="30"/>
      <c r="D15" s="35" t="s">
        <v>67</v>
      </c>
      <c r="E15" s="31">
        <f>-'ΘΕΜΑ1 ΙΣΟΖΥΓΙΟ'!J41</f>
        <v>-4120</v>
      </c>
    </row>
    <row r="16" spans="1:5" x14ac:dyDescent="0.25">
      <c r="A16" s="34" t="s">
        <v>31</v>
      </c>
      <c r="B16" s="33">
        <f>SUM(B12:B15)</f>
        <v>109360</v>
      </c>
      <c r="C16" s="36"/>
      <c r="D16" s="34" t="s">
        <v>31</v>
      </c>
      <c r="E16" s="33">
        <f>SUM(E12:E15)</f>
        <v>115905</v>
      </c>
    </row>
    <row r="17" spans="1:6" x14ac:dyDescent="0.25">
      <c r="A17" s="35" t="s">
        <v>101</v>
      </c>
      <c r="B17" s="31">
        <f>-B16*25%</f>
        <v>-27340</v>
      </c>
      <c r="C17" s="30"/>
      <c r="D17" s="35" t="s">
        <v>101</v>
      </c>
      <c r="E17" s="31">
        <f>ROUND(-E16*25%,0)</f>
        <v>-28976</v>
      </c>
    </row>
    <row r="18" spans="1:6" ht="16.5" thickBot="1" x14ac:dyDescent="0.3">
      <c r="A18" s="37" t="s">
        <v>32</v>
      </c>
      <c r="B18" s="38">
        <f>SUM(B16:B17)</f>
        <v>82020</v>
      </c>
      <c r="C18" s="36"/>
      <c r="D18" s="37" t="s">
        <v>32</v>
      </c>
      <c r="E18" s="38">
        <f>SUM(E16:E17)</f>
        <v>86929</v>
      </c>
      <c r="F18" s="118">
        <f>E18/B18-1</f>
        <v>5.9851255791270486E-2</v>
      </c>
    </row>
    <row r="19" spans="1:6" x14ac:dyDescent="0.25">
      <c r="B19" s="30"/>
      <c r="C19" s="30"/>
      <c r="E19" s="30"/>
    </row>
    <row r="20" spans="1:6" x14ac:dyDescent="0.25">
      <c r="A20" s="27" t="s">
        <v>88</v>
      </c>
      <c r="B20" s="30">
        <f>ROUND(B18*5%,0)</f>
        <v>4101</v>
      </c>
      <c r="C20" s="30"/>
      <c r="D20" s="27" t="s">
        <v>88</v>
      </c>
      <c r="E20" s="30">
        <f>ROUND(E18*5%,0)</f>
        <v>4346</v>
      </c>
    </row>
    <row r="21" spans="1:6" x14ac:dyDescent="0.25">
      <c r="A21" s="27" t="s">
        <v>107</v>
      </c>
      <c r="B21" s="30">
        <f>ROUND((B18-B20)*35%,0)</f>
        <v>27272</v>
      </c>
      <c r="C21" s="30"/>
      <c r="D21" s="27" t="s">
        <v>107</v>
      </c>
      <c r="E21" s="30">
        <f>ROUND((E18-E20)*35%,0)</f>
        <v>28904</v>
      </c>
    </row>
    <row r="22" spans="1:6" ht="16.5" thickBot="1" x14ac:dyDescent="0.3">
      <c r="B22" s="30"/>
      <c r="C22" s="30"/>
      <c r="E22" s="30"/>
    </row>
    <row r="23" spans="1:6" ht="16.5" thickBot="1" x14ac:dyDescent="0.3">
      <c r="A23" s="87" t="s">
        <v>117</v>
      </c>
      <c r="B23" s="88"/>
      <c r="C23" s="30"/>
      <c r="D23" s="87" t="s">
        <v>117</v>
      </c>
      <c r="E23" s="88"/>
    </row>
    <row r="24" spans="1:6" x14ac:dyDescent="0.25">
      <c r="A24" s="89" t="s">
        <v>97</v>
      </c>
      <c r="B24" s="90"/>
      <c r="D24" s="89" t="s">
        <v>114</v>
      </c>
      <c r="E24" s="90"/>
    </row>
    <row r="25" spans="1:6" x14ac:dyDescent="0.25">
      <c r="A25" s="85" t="s">
        <v>38</v>
      </c>
      <c r="B25" s="86"/>
      <c r="D25" s="85" t="s">
        <v>38</v>
      </c>
      <c r="E25" s="86"/>
    </row>
    <row r="26" spans="1:6" x14ac:dyDescent="0.25">
      <c r="A26" s="28" t="str">
        <f>A3</f>
        <v>Πωλήσεις</v>
      </c>
      <c r="B26" s="64">
        <f>B3/B$3</f>
        <v>1</v>
      </c>
      <c r="C26" s="30"/>
      <c r="D26" s="28" t="str">
        <f t="shared" ref="D26:D41" si="0">D3</f>
        <v>Πωλήσεις</v>
      </c>
      <c r="E26" s="64">
        <f>E3/E$3</f>
        <v>1</v>
      </c>
    </row>
    <row r="27" spans="1:6" x14ac:dyDescent="0.25">
      <c r="A27" s="28" t="str">
        <f t="shared" ref="A27:A41" si="1">A4</f>
        <v>Κόστος Πωληθέντων</v>
      </c>
      <c r="B27" s="65">
        <f t="shared" ref="B27:B41" si="2">B4/B$3</f>
        <v>-0.64545930353709269</v>
      </c>
      <c r="C27" s="30"/>
      <c r="D27" s="28" t="str">
        <f t="shared" si="0"/>
        <v>Κόστος Πωληθέντων</v>
      </c>
      <c r="E27" s="65">
        <f t="shared" ref="E27:E41" si="3">E4/E$3</f>
        <v>-0.64843362597665533</v>
      </c>
    </row>
    <row r="28" spans="1:6" x14ac:dyDescent="0.25">
      <c r="A28" s="32" t="str">
        <f t="shared" si="1"/>
        <v>Μεικτό Κέρδος</v>
      </c>
      <c r="B28" s="66">
        <f t="shared" si="2"/>
        <v>0.35454069646290731</v>
      </c>
      <c r="C28" s="30"/>
      <c r="D28" s="32" t="str">
        <f t="shared" si="0"/>
        <v>Μεικτό Κέρδος</v>
      </c>
      <c r="E28" s="66">
        <f t="shared" si="3"/>
        <v>0.35156637402334467</v>
      </c>
    </row>
    <row r="29" spans="1:6" x14ac:dyDescent="0.25">
      <c r="A29" s="28" t="str">
        <f t="shared" si="1"/>
        <v>Αμοιβές &amp; Έξοδα Προσωπικού</v>
      </c>
      <c r="B29" s="64">
        <f t="shared" si="2"/>
        <v>-0.12880040756049813</v>
      </c>
      <c r="C29" s="30"/>
      <c r="D29" s="28" t="str">
        <f t="shared" si="0"/>
        <v>Αμοιβές &amp; Έξοδα Προσωπικού</v>
      </c>
      <c r="E29" s="64">
        <f t="shared" si="3"/>
        <v>-0.12108406494163834</v>
      </c>
    </row>
    <row r="30" spans="1:6" x14ac:dyDescent="0.25">
      <c r="A30" s="28" t="str">
        <f t="shared" si="1"/>
        <v>Αμοιβές Τρίτων</v>
      </c>
      <c r="B30" s="64">
        <f t="shared" si="2"/>
        <v>-3.4846143821186316E-2</v>
      </c>
      <c r="C30" s="30"/>
      <c r="D30" s="28" t="str">
        <f t="shared" si="0"/>
        <v>Αμοιβές Τρίτων</v>
      </c>
      <c r="E30" s="64">
        <f t="shared" si="3"/>
        <v>-3.8539506848470365E-2</v>
      </c>
    </row>
    <row r="31" spans="1:6" x14ac:dyDescent="0.25">
      <c r="A31" s="28" t="str">
        <f t="shared" si="1"/>
        <v>Έξοδα διάθεσης</v>
      </c>
      <c r="B31" s="64">
        <f t="shared" si="2"/>
        <v>-2.9270760809796504E-2</v>
      </c>
      <c r="C31" s="30"/>
      <c r="D31" s="28" t="str">
        <f t="shared" si="0"/>
        <v>Έξοδα διάθεσης</v>
      </c>
      <c r="E31" s="64">
        <f t="shared" si="3"/>
        <v>-2.4408354337364567E-2</v>
      </c>
    </row>
    <row r="32" spans="1:6" x14ac:dyDescent="0.25">
      <c r="A32" s="28" t="str">
        <f t="shared" si="1"/>
        <v>Αποσβέσεις</v>
      </c>
      <c r="B32" s="64">
        <f t="shared" si="2"/>
        <v>-3.275537519191514E-2</v>
      </c>
      <c r="C32" s="30"/>
      <c r="D32" s="28" t="str">
        <f t="shared" si="0"/>
        <v>Αποσβέσεις</v>
      </c>
      <c r="E32" s="64">
        <f t="shared" si="3"/>
        <v>-3.1409698081503352E-2</v>
      </c>
    </row>
    <row r="33" spans="1:5" x14ac:dyDescent="0.25">
      <c r="A33" s="28" t="str">
        <f t="shared" si="1"/>
        <v>Ενοίκια</v>
      </c>
      <c r="B33" s="64">
        <f t="shared" si="2"/>
        <v>-3.3452298068338861E-2</v>
      </c>
      <c r="C33" s="30"/>
      <c r="D33" s="28" t="str">
        <f t="shared" si="0"/>
        <v>Ενοίκια</v>
      </c>
      <c r="E33" s="64">
        <f t="shared" si="3"/>
        <v>-3.0831605478776294E-2</v>
      </c>
    </row>
    <row r="34" spans="1:5" x14ac:dyDescent="0.25">
      <c r="A34" s="28" t="str">
        <f t="shared" si="1"/>
        <v>Άλλα Λειτουργικά Έξοδα</v>
      </c>
      <c r="B34" s="65">
        <f t="shared" si="2"/>
        <v>-7.1086133395220083E-3</v>
      </c>
      <c r="C34" s="30"/>
      <c r="D34" s="28" t="str">
        <f t="shared" si="0"/>
        <v>Άλλα Λειτουργικά Έξοδα</v>
      </c>
      <c r="E34" s="65">
        <f t="shared" si="3"/>
        <v>-7.2582737897952526E-3</v>
      </c>
    </row>
    <row r="35" spans="1:5" x14ac:dyDescent="0.25">
      <c r="A35" s="34" t="str">
        <f t="shared" si="1"/>
        <v>Κέρδη προ Τόκων και Φόρων</v>
      </c>
      <c r="B35" s="66">
        <f t="shared" si="2"/>
        <v>8.8307097671650361E-2</v>
      </c>
      <c r="C35" s="30"/>
      <c r="D35" s="34" t="str">
        <f t="shared" si="0"/>
        <v>Κέρδη προ Τόκων και Φόρων</v>
      </c>
      <c r="E35" s="66">
        <f t="shared" si="3"/>
        <v>9.8034870545796501E-2</v>
      </c>
    </row>
    <row r="36" spans="1:5" x14ac:dyDescent="0.25">
      <c r="A36" s="35" t="str">
        <f t="shared" si="1"/>
        <v>Κέρδη από Πώληση Χρεογράφων</v>
      </c>
      <c r="B36" s="64">
        <f t="shared" si="2"/>
        <v>2.4392300674830423E-2</v>
      </c>
      <c r="C36" s="30"/>
      <c r="D36" s="35" t="str">
        <f t="shared" si="0"/>
        <v>Κέρδη από Πώληση Χρεογράφων</v>
      </c>
      <c r="E36" s="64">
        <f t="shared" si="3"/>
        <v>3.2116255707058637E-3</v>
      </c>
    </row>
    <row r="37" spans="1:5" x14ac:dyDescent="0.25">
      <c r="A37" s="35" t="str">
        <f t="shared" si="1"/>
        <v>Χρεωστικοί Τόκοι &amp; Έξοδα Τραπεζών</v>
      </c>
      <c r="B37" s="64">
        <f t="shared" si="2"/>
        <v>-2.5786146427677875E-2</v>
      </c>
      <c r="C37" s="30"/>
      <c r="D37" s="35" t="str">
        <f t="shared" si="0"/>
        <v>Χρεωστικοί Τόκοι &amp; Έξοδα Τραπεζών</v>
      </c>
      <c r="E37" s="64">
        <f t="shared" si="3"/>
        <v>-2.4151424291708096E-2</v>
      </c>
    </row>
    <row r="38" spans="1:5" x14ac:dyDescent="0.25">
      <c r="A38" s="35" t="str">
        <f t="shared" si="1"/>
        <v>Ζημιές από Πώληση Παγίων</v>
      </c>
      <c r="B38" s="65">
        <f t="shared" si="2"/>
        <v>-1.0697766153104199E-2</v>
      </c>
      <c r="C38" s="30"/>
      <c r="D38" s="35" t="str">
        <f t="shared" si="0"/>
        <v>Ζημιές από Πώληση Παγίων</v>
      </c>
      <c r="E38" s="65">
        <f t="shared" si="3"/>
        <v>-2.6463794702616321E-3</v>
      </c>
    </row>
    <row r="39" spans="1:5" x14ac:dyDescent="0.25">
      <c r="A39" s="34" t="str">
        <f t="shared" si="1"/>
        <v>Κέρδη προ Φόρων</v>
      </c>
      <c r="B39" s="66">
        <f t="shared" si="2"/>
        <v>7.6215485765698712E-2</v>
      </c>
      <c r="C39" s="36"/>
      <c r="D39" s="34" t="str">
        <f t="shared" si="0"/>
        <v>Κέρδη προ Φόρων</v>
      </c>
      <c r="E39" s="66">
        <f t="shared" si="3"/>
        <v>7.4448692354532636E-2</v>
      </c>
    </row>
    <row r="40" spans="1:5" x14ac:dyDescent="0.25">
      <c r="A40" s="35" t="str">
        <f t="shared" si="1"/>
        <v>Φόρος @ 25%</v>
      </c>
      <c r="B40" s="65">
        <f t="shared" si="2"/>
        <v>-1.9053871441424678E-2</v>
      </c>
      <c r="C40" s="30"/>
      <c r="D40" s="35" t="str">
        <f t="shared" si="0"/>
        <v>Φόρος @ 25%</v>
      </c>
      <c r="E40" s="65">
        <f t="shared" si="3"/>
        <v>-1.8612012507354624E-2</v>
      </c>
    </row>
    <row r="41" spans="1:5" ht="16.5" thickBot="1" x14ac:dyDescent="0.3">
      <c r="A41" s="37" t="str">
        <f t="shared" si="1"/>
        <v>Καθαρά Κέρδη</v>
      </c>
      <c r="B41" s="67">
        <f t="shared" si="2"/>
        <v>5.7161614324274031E-2</v>
      </c>
      <c r="C41" s="36"/>
      <c r="D41" s="37" t="str">
        <f t="shared" si="0"/>
        <v>Καθαρά Κέρδη</v>
      </c>
      <c r="E41" s="67">
        <f t="shared" si="3"/>
        <v>5.5836679847178008E-2</v>
      </c>
    </row>
  </sheetData>
  <mergeCells count="10">
    <mergeCell ref="A25:B25"/>
    <mergeCell ref="D25:E25"/>
    <mergeCell ref="A23:B23"/>
    <mergeCell ref="D23:E23"/>
    <mergeCell ref="D1:E1"/>
    <mergeCell ref="D2:E2"/>
    <mergeCell ref="A24:B24"/>
    <mergeCell ref="D24:E24"/>
    <mergeCell ref="A1:B1"/>
    <mergeCell ref="A2:B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showGridLines="0" topLeftCell="A61" workbookViewId="0">
      <selection activeCell="H40" sqref="H40:M73"/>
    </sheetView>
  </sheetViews>
  <sheetFormatPr defaultColWidth="8.85546875" defaultRowHeight="15.75" x14ac:dyDescent="0.25"/>
  <cols>
    <col min="1" max="1" width="42" style="27" bestFit="1" customWidth="1"/>
    <col min="2" max="2" width="15.85546875" style="61" bestFit="1" customWidth="1"/>
    <col min="3" max="3" width="16.85546875" style="61" bestFit="1" customWidth="1"/>
    <col min="4" max="4" width="1.140625" style="27" customWidth="1"/>
    <col min="5" max="5" width="44.7109375" style="27" bestFit="1" customWidth="1"/>
    <col min="6" max="6" width="16.5703125" style="61" bestFit="1" customWidth="1"/>
    <col min="7" max="7" width="16.42578125" style="30" customWidth="1"/>
    <col min="8" max="8" width="50.42578125" style="27" bestFit="1" customWidth="1"/>
    <col min="9" max="9" width="14.7109375" style="27" bestFit="1" customWidth="1"/>
    <col min="10" max="10" width="16.5703125" style="27" bestFit="1" customWidth="1"/>
    <col min="11" max="11" width="1.28515625" style="27" customWidth="1"/>
    <col min="12" max="12" width="53.5703125" style="27" bestFit="1" customWidth="1"/>
    <col min="13" max="13" width="16.5703125" style="27" bestFit="1" customWidth="1"/>
    <col min="14" max="16384" width="8.85546875" style="27"/>
  </cols>
  <sheetData>
    <row r="1" spans="1:13" x14ac:dyDescent="0.25">
      <c r="A1" s="89" t="s">
        <v>100</v>
      </c>
      <c r="B1" s="91"/>
      <c r="C1" s="91"/>
      <c r="D1" s="91"/>
      <c r="E1" s="91"/>
      <c r="F1" s="90"/>
      <c r="G1" s="39"/>
      <c r="H1" s="89" t="s">
        <v>116</v>
      </c>
      <c r="I1" s="91"/>
      <c r="J1" s="91"/>
      <c r="K1" s="91"/>
      <c r="L1" s="91"/>
      <c r="M1" s="90"/>
    </row>
    <row r="2" spans="1:13" x14ac:dyDescent="0.25">
      <c r="A2" s="85" t="s">
        <v>38</v>
      </c>
      <c r="B2" s="92"/>
      <c r="C2" s="92"/>
      <c r="D2" s="92"/>
      <c r="E2" s="92"/>
      <c r="F2" s="86"/>
      <c r="G2" s="39"/>
      <c r="H2" s="85" t="s">
        <v>38</v>
      </c>
      <c r="I2" s="92"/>
      <c r="J2" s="92"/>
      <c r="K2" s="92"/>
      <c r="L2" s="92"/>
      <c r="M2" s="86"/>
    </row>
    <row r="3" spans="1:13" x14ac:dyDescent="0.25">
      <c r="A3" s="32" t="s">
        <v>13</v>
      </c>
      <c r="B3" s="40"/>
      <c r="C3" s="40"/>
      <c r="D3" s="41"/>
      <c r="E3" s="42" t="s">
        <v>20</v>
      </c>
      <c r="F3" s="29"/>
      <c r="G3" s="40"/>
      <c r="H3" s="32" t="s">
        <v>13</v>
      </c>
      <c r="I3" s="40"/>
      <c r="J3" s="40"/>
      <c r="K3" s="41"/>
      <c r="L3" s="42" t="s">
        <v>20</v>
      </c>
      <c r="M3" s="29"/>
    </row>
    <row r="4" spans="1:13" x14ac:dyDescent="0.25">
      <c r="A4" s="28" t="s">
        <v>45</v>
      </c>
      <c r="B4" s="40"/>
      <c r="C4" s="40">
        <f>'ΘΕΜΑ1 ΙΣΟΖΥΓΙΟ'!D55</f>
        <v>200000</v>
      </c>
      <c r="D4" s="41"/>
      <c r="E4" s="43" t="s">
        <v>109</v>
      </c>
      <c r="F4" s="29">
        <f>'ΘΕΜΑ1 ΙΣΟΖΥΓΙΟ'!E64</f>
        <v>500000</v>
      </c>
      <c r="G4" s="40"/>
      <c r="H4" s="28" t="s">
        <v>45</v>
      </c>
      <c r="I4" s="40"/>
      <c r="J4" s="40">
        <f>'ΘΕΜΑ1 ΙΣΟΖΥΓΙΟ'!J55</f>
        <v>100000</v>
      </c>
      <c r="K4" s="41"/>
      <c r="L4" s="43" t="s">
        <v>109</v>
      </c>
      <c r="M4" s="29">
        <f>'ΘΕΜΑ1 ΙΣΟΖΥΓΙΟ'!K64</f>
        <v>500000</v>
      </c>
    </row>
    <row r="5" spans="1:13" x14ac:dyDescent="0.25">
      <c r="A5" s="32" t="s">
        <v>12</v>
      </c>
      <c r="B5" s="40"/>
      <c r="C5" s="44">
        <f>SUM(C4)</f>
        <v>200000</v>
      </c>
      <c r="D5" s="41"/>
      <c r="E5" s="27" t="s">
        <v>110</v>
      </c>
      <c r="F5" s="29">
        <f>'ΘΕΜΑ1 ΙΣΟΖΥΓΙΟ'!E65</f>
        <v>60000</v>
      </c>
      <c r="G5" s="40"/>
      <c r="H5" s="32" t="s">
        <v>12</v>
      </c>
      <c r="I5" s="40"/>
      <c r="J5" s="44">
        <f>SUM(J4)</f>
        <v>100000</v>
      </c>
      <c r="K5" s="41"/>
      <c r="L5" s="27" t="s">
        <v>110</v>
      </c>
      <c r="M5" s="29">
        <f>'ΘΕΜΑ1 ΙΣΟΖΥΓΙΟ'!K65</f>
        <v>60000</v>
      </c>
    </row>
    <row r="6" spans="1:13" x14ac:dyDescent="0.25">
      <c r="A6" s="32"/>
      <c r="B6" s="40"/>
      <c r="C6" s="40"/>
      <c r="D6" s="41"/>
      <c r="E6" s="27" t="s">
        <v>88</v>
      </c>
      <c r="F6" s="29">
        <f>'ΘΕΜΑ1 ΙΣΟΖΥΓΙΟ'!E66</f>
        <v>24101</v>
      </c>
      <c r="G6" s="40"/>
      <c r="H6" s="32"/>
      <c r="I6" s="40"/>
      <c r="J6" s="40"/>
      <c r="K6" s="41"/>
      <c r="L6" s="27" t="s">
        <v>88</v>
      </c>
      <c r="M6" s="29">
        <f>'ΘΕΜΑ1 ΙΣΟΖΥΓΙΟ'!K66</f>
        <v>28447</v>
      </c>
    </row>
    <row r="7" spans="1:13" x14ac:dyDescent="0.25">
      <c r="A7" s="32" t="s">
        <v>68</v>
      </c>
      <c r="B7" s="40"/>
      <c r="C7" s="40"/>
      <c r="D7" s="41"/>
      <c r="E7" s="43" t="s">
        <v>21</v>
      </c>
      <c r="F7" s="29">
        <f>'ΘΕΜΑ1 ΙΣΟΖΥΓΙΟ'!E67</f>
        <v>516280</v>
      </c>
      <c r="G7" s="40"/>
      <c r="H7" s="32" t="s">
        <v>68</v>
      </c>
      <c r="I7" s="40"/>
      <c r="J7" s="40"/>
      <c r="K7" s="41"/>
      <c r="L7" s="43" t="s">
        <v>21</v>
      </c>
      <c r="M7" s="29">
        <f>'ΘΕΜΑ1 ΙΣΟΖΥΓΙΟ'!K67</f>
        <v>569959</v>
      </c>
    </row>
    <row r="8" spans="1:13" ht="16.5" thickBot="1" x14ac:dyDescent="0.3">
      <c r="A8" s="28" t="s">
        <v>11</v>
      </c>
      <c r="B8" s="40"/>
      <c r="C8" s="40">
        <f>'ΘΕΜΑ1 ΙΣΟΖΥΓΙΟ'!D50</f>
        <v>325000</v>
      </c>
      <c r="D8" s="41"/>
      <c r="E8" s="43" t="s">
        <v>111</v>
      </c>
      <c r="F8" s="45">
        <f>-'ΘΕΜΑ1 ΙΣΟΖΥΓΙΟ'!D68</f>
        <v>-40000</v>
      </c>
      <c r="G8" s="40"/>
      <c r="H8" s="28" t="s">
        <v>11</v>
      </c>
      <c r="I8" s="40"/>
      <c r="J8" s="40">
        <f>'ΘΕΜΑ1 ΙΣΟΖΥΓΙΟ'!J50</f>
        <v>374430</v>
      </c>
      <c r="K8" s="41"/>
      <c r="L8" s="43" t="s">
        <v>111</v>
      </c>
      <c r="M8" s="45">
        <f>-'ΘΕΜΑ1 ΙΣΟΖΥΓΙΟ'!J68</f>
        <v>-40000</v>
      </c>
    </row>
    <row r="9" spans="1:13" ht="16.5" thickTop="1" x14ac:dyDescent="0.25">
      <c r="A9" s="28" t="s">
        <v>74</v>
      </c>
      <c r="B9" s="40">
        <f>'ΘΕΜΑ1 ΙΣΟΖΥΓΙΟ'!D51</f>
        <v>775000</v>
      </c>
      <c r="C9" s="40"/>
      <c r="D9" s="41"/>
      <c r="E9" s="42" t="s">
        <v>22</v>
      </c>
      <c r="F9" s="33">
        <f>SUM(F4:F8)</f>
        <v>1060381</v>
      </c>
      <c r="G9" s="44"/>
      <c r="H9" s="28" t="s">
        <v>74</v>
      </c>
      <c r="I9" s="40">
        <f>'ΘΕΜΑ1 ΙΣΟΖΥΓΙΟ'!J51</f>
        <v>804000</v>
      </c>
      <c r="J9" s="40"/>
      <c r="K9" s="41"/>
      <c r="L9" s="42" t="s">
        <v>22</v>
      </c>
      <c r="M9" s="33">
        <f>SUM(M4:M8)</f>
        <v>1118406</v>
      </c>
    </row>
    <row r="10" spans="1:13" x14ac:dyDescent="0.25">
      <c r="A10" s="28" t="s">
        <v>75</v>
      </c>
      <c r="B10" s="46">
        <f>-'ΘΕΜΑ1 ΙΣΟΖΥΓΙΟ'!E53</f>
        <v>-345000</v>
      </c>
      <c r="C10" s="46"/>
      <c r="D10" s="41"/>
      <c r="E10" s="43"/>
      <c r="F10" s="29"/>
      <c r="G10" s="40"/>
      <c r="H10" s="28" t="s">
        <v>75</v>
      </c>
      <c r="I10" s="46">
        <f>-'ΘΕΜΑ1 ΙΣΟΖΥΓΙΟ'!K53</f>
        <v>-378750</v>
      </c>
      <c r="J10" s="46"/>
      <c r="K10" s="41"/>
      <c r="L10" s="43"/>
      <c r="M10" s="29"/>
    </row>
    <row r="11" spans="1:13" x14ac:dyDescent="0.25">
      <c r="A11" s="47" t="s">
        <v>42</v>
      </c>
      <c r="B11" s="40"/>
      <c r="C11" s="48">
        <f>SUM(B9:B10)</f>
        <v>430000</v>
      </c>
      <c r="D11" s="41"/>
      <c r="E11" s="42" t="s">
        <v>23</v>
      </c>
      <c r="F11" s="29"/>
      <c r="G11" s="40"/>
      <c r="H11" s="47" t="s">
        <v>42</v>
      </c>
      <c r="I11" s="40"/>
      <c r="J11" s="48">
        <f>SUM(I9:I10)</f>
        <v>425250</v>
      </c>
      <c r="K11" s="41"/>
      <c r="L11" s="42" t="s">
        <v>23</v>
      </c>
      <c r="M11" s="29"/>
    </row>
    <row r="12" spans="1:13" ht="16.5" thickBot="1" x14ac:dyDescent="0.3">
      <c r="A12" s="28" t="s">
        <v>70</v>
      </c>
      <c r="B12" s="40">
        <f>'ΘΕΜΑ1 ΙΣΟΖΥΓΙΟ'!D52</f>
        <v>125500</v>
      </c>
      <c r="C12" s="40"/>
      <c r="D12" s="41"/>
      <c r="E12" s="43" t="s">
        <v>53</v>
      </c>
      <c r="F12" s="45">
        <f>'ΘΕΜΑ1 ΙΣΟΖΥΓΙΟ'!E69</f>
        <v>450000</v>
      </c>
      <c r="G12" s="40"/>
      <c r="H12" s="28" t="s">
        <v>70</v>
      </c>
      <c r="I12" s="40">
        <f>'ΘΕΜΑ1 ΙΣΟΖΥΓΙΟ'!J52</f>
        <v>140500</v>
      </c>
      <c r="J12" s="40"/>
      <c r="K12" s="41"/>
      <c r="L12" s="43" t="s">
        <v>53</v>
      </c>
      <c r="M12" s="45">
        <f>'ΘΕΜΑ1 ΙΣΟΖΥΓΙΟ'!K69</f>
        <v>500000</v>
      </c>
    </row>
    <row r="13" spans="1:13" ht="16.5" thickTop="1" x14ac:dyDescent="0.25">
      <c r="A13" s="28" t="s">
        <v>69</v>
      </c>
      <c r="B13" s="46">
        <f>-'ΘΕΜΑ1 ΙΣΟΖΥΓΙΟ'!E54</f>
        <v>-38000</v>
      </c>
      <c r="C13" s="46"/>
      <c r="D13" s="41"/>
      <c r="E13" s="42" t="s">
        <v>24</v>
      </c>
      <c r="F13" s="33">
        <f>SUM(F12:F12)</f>
        <v>450000</v>
      </c>
      <c r="G13" s="44"/>
      <c r="H13" s="28" t="s">
        <v>69</v>
      </c>
      <c r="I13" s="46">
        <f>-'ΘΕΜΑ1 ΙΣΟΖΥΓΙΟ'!K54</f>
        <v>-49650</v>
      </c>
      <c r="J13" s="46"/>
      <c r="K13" s="41"/>
      <c r="L13" s="42" t="s">
        <v>24</v>
      </c>
      <c r="M13" s="33">
        <f>SUM(M12:M12)</f>
        <v>500000</v>
      </c>
    </row>
    <row r="14" spans="1:13" x14ac:dyDescent="0.25">
      <c r="A14" s="47" t="s">
        <v>43</v>
      </c>
      <c r="B14" s="40"/>
      <c r="C14" s="48">
        <f>B12+B13</f>
        <v>87500</v>
      </c>
      <c r="D14" s="41"/>
      <c r="E14" s="43"/>
      <c r="F14" s="29"/>
      <c r="G14" s="40"/>
      <c r="H14" s="47" t="s">
        <v>43</v>
      </c>
      <c r="I14" s="40"/>
      <c r="J14" s="48">
        <f>I12+I13</f>
        <v>90850</v>
      </c>
      <c r="K14" s="41"/>
      <c r="L14" s="43"/>
      <c r="M14" s="29"/>
    </row>
    <row r="15" spans="1:13" x14ac:dyDescent="0.25">
      <c r="A15" s="32" t="s">
        <v>14</v>
      </c>
      <c r="B15" s="44"/>
      <c r="C15" s="44">
        <f>C8+C11+C14</f>
        <v>842500</v>
      </c>
      <c r="D15" s="41"/>
      <c r="E15" s="43"/>
      <c r="F15" s="29"/>
      <c r="G15" s="40"/>
      <c r="H15" s="32" t="s">
        <v>14</v>
      </c>
      <c r="I15" s="44"/>
      <c r="J15" s="44">
        <f>J8+J11+J14</f>
        <v>890530</v>
      </c>
      <c r="K15" s="41"/>
      <c r="L15" s="43"/>
      <c r="M15" s="29"/>
    </row>
    <row r="16" spans="1:13" ht="16.5" thickBot="1" x14ac:dyDescent="0.3">
      <c r="A16" s="28" t="s">
        <v>8</v>
      </c>
      <c r="B16" s="40"/>
      <c r="C16" s="49">
        <f>'ΘΕΜΑ1 ΙΣΟΖΥΓΙΟ'!D56</f>
        <v>0</v>
      </c>
      <c r="D16" s="41"/>
      <c r="E16" s="43"/>
      <c r="F16" s="29"/>
      <c r="G16" s="40"/>
      <c r="H16" s="28" t="s">
        <v>8</v>
      </c>
      <c r="I16" s="40"/>
      <c r="J16" s="49">
        <f>'ΘΕΜΑ1 ΙΣΟΖΥΓΙΟ'!J56</f>
        <v>220000</v>
      </c>
      <c r="K16" s="41"/>
      <c r="L16" s="43"/>
      <c r="M16" s="29"/>
    </row>
    <row r="17" spans="1:13" ht="16.5" thickTop="1" x14ac:dyDescent="0.25">
      <c r="A17" s="32" t="s">
        <v>15</v>
      </c>
      <c r="B17" s="44"/>
      <c r="C17" s="44">
        <f>C5+C15+C16</f>
        <v>1042500</v>
      </c>
      <c r="D17" s="41"/>
      <c r="E17" s="43"/>
      <c r="F17" s="29"/>
      <c r="G17" s="40"/>
      <c r="H17" s="32" t="s">
        <v>15</v>
      </c>
      <c r="I17" s="44"/>
      <c r="J17" s="44">
        <f>J5+J15+J16</f>
        <v>1210530</v>
      </c>
      <c r="K17" s="41"/>
      <c r="L17" s="43"/>
      <c r="M17" s="29"/>
    </row>
    <row r="18" spans="1:13" x14ac:dyDescent="0.25">
      <c r="A18" s="28"/>
      <c r="B18" s="40"/>
      <c r="C18" s="40"/>
      <c r="D18" s="41"/>
      <c r="F18" s="29"/>
      <c r="G18" s="40"/>
      <c r="H18" s="28"/>
      <c r="I18" s="40"/>
      <c r="J18" s="40"/>
      <c r="K18" s="41"/>
      <c r="M18" s="29"/>
    </row>
    <row r="19" spans="1:13" x14ac:dyDescent="0.25">
      <c r="A19" s="32" t="s">
        <v>16</v>
      </c>
      <c r="B19" s="40"/>
      <c r="C19" s="40"/>
      <c r="D19" s="41"/>
      <c r="E19" s="42" t="s">
        <v>25</v>
      </c>
      <c r="F19" s="33"/>
      <c r="G19" s="44"/>
      <c r="H19" s="32" t="s">
        <v>16</v>
      </c>
      <c r="I19" s="40"/>
      <c r="J19" s="40"/>
      <c r="K19" s="41"/>
      <c r="L19" s="42" t="s">
        <v>25</v>
      </c>
      <c r="M19" s="33"/>
    </row>
    <row r="20" spans="1:13" x14ac:dyDescent="0.25">
      <c r="A20" s="28" t="s">
        <v>76</v>
      </c>
      <c r="B20" s="40"/>
      <c r="C20" s="40">
        <f>'ΘΕΜΑ1 ΙΣΟΖΥΓΙΟ'!D57</f>
        <v>455000</v>
      </c>
      <c r="D20" s="41"/>
      <c r="E20" s="43" t="s">
        <v>77</v>
      </c>
      <c r="F20" s="29">
        <f>'ΘΕΜΑ1 ΙΣΟΖΥΓΙΟ'!E70</f>
        <v>225000</v>
      </c>
      <c r="G20" s="40"/>
      <c r="H20" s="28" t="s">
        <v>76</v>
      </c>
      <c r="I20" s="40"/>
      <c r="J20" s="40">
        <f>'ΘΕΜΑ1 ΙΣΟΖΥΓΙΟ'!J57</f>
        <v>424000</v>
      </c>
      <c r="K20" s="41"/>
      <c r="L20" s="43" t="s">
        <v>77</v>
      </c>
      <c r="M20" s="29">
        <f>'ΘΕΜΑ1 ΙΣΟΖΥΓΙΟ'!K70</f>
        <v>192000</v>
      </c>
    </row>
    <row r="21" spans="1:13" x14ac:dyDescent="0.25">
      <c r="A21" s="28" t="s">
        <v>6</v>
      </c>
      <c r="B21" s="40"/>
      <c r="C21" s="40">
        <f>'ΘΕΜΑ1 ΙΣΟΖΥΓΙΟ'!D58</f>
        <v>145000</v>
      </c>
      <c r="D21" s="41"/>
      <c r="E21" s="43" t="s">
        <v>7</v>
      </c>
      <c r="F21" s="29">
        <f>'ΘΕΜΑ1 ΙΣΟΖΥΓΙΟ'!E71</f>
        <v>102000</v>
      </c>
      <c r="G21" s="40"/>
      <c r="H21" s="28" t="s">
        <v>6</v>
      </c>
      <c r="I21" s="40"/>
      <c r="J21" s="40">
        <f>'ΘΕΜΑ1 ΙΣΟΖΥΓΙΟ'!J58</f>
        <v>161000</v>
      </c>
      <c r="K21" s="41"/>
      <c r="L21" s="43" t="s">
        <v>7</v>
      </c>
      <c r="M21" s="29">
        <f>'ΘΕΜΑ1 ΙΣΟΖΥΓΙΟ'!K71</f>
        <v>98000</v>
      </c>
    </row>
    <row r="22" spans="1:13" x14ac:dyDescent="0.25">
      <c r="A22" s="28" t="s">
        <v>2</v>
      </c>
      <c r="B22" s="40">
        <f>'ΘΕΜΑ1 ΙΣΟΖΥΓΙΟ'!D59</f>
        <v>167000</v>
      </c>
      <c r="C22" s="40"/>
      <c r="D22" s="41"/>
      <c r="E22" s="27" t="s">
        <v>55</v>
      </c>
      <c r="F22" s="29">
        <f>'ΘΕΜΑ1 ΙΣΟΖΥΓΙΟ'!E72</f>
        <v>35000</v>
      </c>
      <c r="G22" s="40"/>
      <c r="H22" s="28" t="s">
        <v>2</v>
      </c>
      <c r="I22" s="40">
        <f>'ΘΕΜΑ1 ΙΣΟΖΥΓΙΟ'!J59</f>
        <v>163000</v>
      </c>
      <c r="J22" s="40"/>
      <c r="K22" s="41"/>
      <c r="L22" s="27" t="s">
        <v>55</v>
      </c>
      <c r="M22" s="29">
        <f>'ΘΕΜΑ1 ΙΣΟΖΥΓΙΟ'!K72</f>
        <v>23000</v>
      </c>
    </row>
    <row r="23" spans="1:13" x14ac:dyDescent="0.25">
      <c r="A23" s="28" t="s">
        <v>108</v>
      </c>
      <c r="B23" s="46">
        <f>-'ΘΕΜΑ1 ΙΣΟΖΥΓΙΟ'!E60</f>
        <v>-115000</v>
      </c>
      <c r="C23" s="50">
        <f>SUM(B22:B23)</f>
        <v>52000</v>
      </c>
      <c r="D23" s="41"/>
      <c r="E23" s="27" t="s">
        <v>91</v>
      </c>
      <c r="F23" s="29">
        <f>'ΘΕΜΑ1 ΙΣΟΖΥΓΙΟ'!E73</f>
        <v>32272</v>
      </c>
      <c r="G23" s="40"/>
      <c r="H23" s="28" t="s">
        <v>108</v>
      </c>
      <c r="I23" s="46">
        <f>-'ΘΕΜΑ1 ΙΣΟΖΥΓΙΟ'!K60</f>
        <v>-95000</v>
      </c>
      <c r="J23" s="50">
        <f>SUM(I22:I23)</f>
        <v>68000</v>
      </c>
      <c r="K23" s="41"/>
      <c r="L23" s="27" t="s">
        <v>91</v>
      </c>
      <c r="M23" s="29">
        <f>'ΘΕΜΑ1 ΙΣΟΖΥΓΙΟ'!K73</f>
        <v>33204</v>
      </c>
    </row>
    <row r="24" spans="1:13" x14ac:dyDescent="0.25">
      <c r="A24" s="28" t="s">
        <v>71</v>
      </c>
      <c r="B24" s="40"/>
      <c r="C24" s="40">
        <f>'ΘΕΜΑ1 ΙΣΟΖΥΓΙΟ'!D61</f>
        <v>82000</v>
      </c>
      <c r="D24" s="41"/>
      <c r="E24" s="27" t="s">
        <v>92</v>
      </c>
      <c r="F24" s="29">
        <f>'ΘΕΜΑ1 ΙΣΟΖΥΓΙΟ'!E74</f>
        <v>9857</v>
      </c>
      <c r="G24" s="40"/>
      <c r="H24" s="28" t="s">
        <v>71</v>
      </c>
      <c r="I24" s="40"/>
      <c r="J24" s="40">
        <f>'ΘΕΜΑ1 ΙΣΟΖΥΓΙΟ'!J61</f>
        <v>41000</v>
      </c>
      <c r="K24" s="41"/>
      <c r="L24" s="27" t="s">
        <v>92</v>
      </c>
      <c r="M24" s="29">
        <f>'ΘΕΜΑ1 ΙΣΟΖΥΓΙΟ'!K74</f>
        <v>10054</v>
      </c>
    </row>
    <row r="25" spans="1:13" ht="16.5" thickBot="1" x14ac:dyDescent="0.3">
      <c r="A25" s="28" t="s">
        <v>72</v>
      </c>
      <c r="B25" s="40"/>
      <c r="C25" s="49">
        <f>'ΘΕΜΑ1 ΙΣΟΖΥΓΙΟ'!D62</f>
        <v>153000</v>
      </c>
      <c r="D25" s="41"/>
      <c r="E25" s="27" t="s">
        <v>93</v>
      </c>
      <c r="F25" s="45">
        <f>'ΘΕΜΑ1 ΙΣΟΖΥΓΙΟ'!E75</f>
        <v>54340</v>
      </c>
      <c r="G25" s="40"/>
      <c r="H25" s="28" t="s">
        <v>72</v>
      </c>
      <c r="I25" s="40"/>
      <c r="J25" s="49">
        <f>'ΘΕΜΑ1 ΙΣΟΖΥΓΙΟ'!J62</f>
        <v>96000</v>
      </c>
      <c r="K25" s="41"/>
      <c r="L25" s="27" t="s">
        <v>93</v>
      </c>
      <c r="M25" s="45">
        <f>'ΘΕΜΑ1 ΙΣΟΖΥΓΙΟ'!K75</f>
        <v>57276</v>
      </c>
    </row>
    <row r="26" spans="1:13" ht="16.5" thickTop="1" x14ac:dyDescent="0.25">
      <c r="A26" s="32" t="s">
        <v>17</v>
      </c>
      <c r="B26" s="44"/>
      <c r="C26" s="44">
        <f>SUM(C20:C25)</f>
        <v>887000</v>
      </c>
      <c r="D26" s="41"/>
      <c r="E26" s="42" t="s">
        <v>26</v>
      </c>
      <c r="F26" s="33">
        <f>SUM(F17:F25)</f>
        <v>458469</v>
      </c>
      <c r="G26" s="44"/>
      <c r="H26" s="32" t="s">
        <v>17</v>
      </c>
      <c r="I26" s="44"/>
      <c r="J26" s="44">
        <f>SUM(J20:J25)</f>
        <v>790000</v>
      </c>
      <c r="K26" s="41"/>
      <c r="L26" s="42" t="s">
        <v>26</v>
      </c>
      <c r="M26" s="33">
        <f>SUM(M17:M25)</f>
        <v>413534</v>
      </c>
    </row>
    <row r="27" spans="1:13" x14ac:dyDescent="0.25">
      <c r="A27" s="28"/>
      <c r="B27" s="40"/>
      <c r="C27" s="40"/>
      <c r="D27" s="41"/>
      <c r="F27" s="29"/>
      <c r="G27" s="40"/>
      <c r="H27" s="28"/>
      <c r="I27" s="40"/>
      <c r="J27" s="40"/>
      <c r="K27" s="41"/>
      <c r="M27" s="29"/>
    </row>
    <row r="28" spans="1:13" x14ac:dyDescent="0.25">
      <c r="A28" s="32" t="s">
        <v>18</v>
      </c>
      <c r="B28" s="40"/>
      <c r="C28" s="40"/>
      <c r="D28" s="41"/>
      <c r="E28" s="42" t="s">
        <v>27</v>
      </c>
      <c r="F28" s="29"/>
      <c r="G28" s="40"/>
      <c r="H28" s="32" t="s">
        <v>18</v>
      </c>
      <c r="I28" s="40"/>
      <c r="J28" s="40"/>
      <c r="K28" s="41"/>
      <c r="L28" s="42" t="s">
        <v>27</v>
      </c>
      <c r="M28" s="29"/>
    </row>
    <row r="29" spans="1:13" ht="16.5" thickBot="1" x14ac:dyDescent="0.3">
      <c r="A29" s="28" t="s">
        <v>51</v>
      </c>
      <c r="B29" s="40"/>
      <c r="C29" s="49">
        <f>'ΘΕΜΑ1 ΙΣΟΖΥΓΙΟ'!D63</f>
        <v>39350</v>
      </c>
      <c r="D29" s="41"/>
      <c r="E29" s="43" t="s">
        <v>4</v>
      </c>
      <c r="F29" s="45">
        <v>0</v>
      </c>
      <c r="G29" s="40"/>
      <c r="H29" s="28" t="s">
        <v>51</v>
      </c>
      <c r="I29" s="40"/>
      <c r="J29" s="49">
        <f>'ΘΕΜΑ1 ΙΣΟΖΥΓΙΟ'!J63</f>
        <v>31410</v>
      </c>
      <c r="K29" s="41"/>
      <c r="L29" s="43" t="s">
        <v>4</v>
      </c>
      <c r="M29" s="45">
        <v>0</v>
      </c>
    </row>
    <row r="30" spans="1:13" ht="16.5" thickTop="1" x14ac:dyDescent="0.25">
      <c r="A30" s="32" t="s">
        <v>37</v>
      </c>
      <c r="B30" s="40"/>
      <c r="C30" s="44">
        <f>SUM(C29:C29)</f>
        <v>39350</v>
      </c>
      <c r="D30" s="41"/>
      <c r="E30" s="42" t="s">
        <v>28</v>
      </c>
      <c r="F30" s="33">
        <f>F29</f>
        <v>0</v>
      </c>
      <c r="G30" s="44"/>
      <c r="H30" s="32" t="s">
        <v>37</v>
      </c>
      <c r="I30" s="40"/>
      <c r="J30" s="44">
        <f>SUM(J29:J29)</f>
        <v>31410</v>
      </c>
      <c r="K30" s="41"/>
      <c r="L30" s="42" t="s">
        <v>28</v>
      </c>
      <c r="M30" s="33">
        <f>M29</f>
        <v>0</v>
      </c>
    </row>
    <row r="31" spans="1:13" x14ac:dyDescent="0.25">
      <c r="A31" s="28"/>
      <c r="B31" s="40"/>
      <c r="C31" s="40"/>
      <c r="D31" s="41"/>
      <c r="E31" s="43"/>
      <c r="F31" s="29"/>
      <c r="G31" s="40"/>
      <c r="H31" s="28"/>
      <c r="I31" s="40"/>
      <c r="J31" s="40"/>
      <c r="K31" s="41"/>
      <c r="L31" s="43"/>
      <c r="M31" s="29"/>
    </row>
    <row r="32" spans="1:13" x14ac:dyDescent="0.25">
      <c r="A32" s="28"/>
      <c r="B32" s="40"/>
      <c r="C32" s="40"/>
      <c r="D32" s="41"/>
      <c r="E32" s="43"/>
      <c r="F32" s="29"/>
      <c r="G32" s="40"/>
      <c r="H32" s="28"/>
      <c r="I32" s="40"/>
      <c r="J32" s="40"/>
      <c r="K32" s="41"/>
      <c r="L32" s="43"/>
      <c r="M32" s="29"/>
    </row>
    <row r="33" spans="1:13" ht="16.5" thickBot="1" x14ac:dyDescent="0.3">
      <c r="A33" s="51" t="s">
        <v>19</v>
      </c>
      <c r="B33" s="52"/>
      <c r="C33" s="53">
        <f>C17+C26+C30</f>
        <v>1968850</v>
      </c>
      <c r="D33" s="41"/>
      <c r="E33" s="54" t="s">
        <v>73</v>
      </c>
      <c r="F33" s="55">
        <f>F9+F13+F26+F30</f>
        <v>1968850</v>
      </c>
      <c r="G33" s="52"/>
      <c r="H33" s="51" t="s">
        <v>19</v>
      </c>
      <c r="I33" s="52"/>
      <c r="J33" s="53">
        <f>J17+J26+J30</f>
        <v>2031940</v>
      </c>
      <c r="K33" s="41"/>
      <c r="L33" s="54" t="s">
        <v>73</v>
      </c>
      <c r="M33" s="55">
        <f>M9+M13+M26+M30</f>
        <v>2031940</v>
      </c>
    </row>
    <row r="34" spans="1:13" ht="17.25" thickTop="1" thickBot="1" x14ac:dyDescent="0.3">
      <c r="A34" s="56"/>
      <c r="B34" s="57"/>
      <c r="C34" s="57"/>
      <c r="D34" s="58"/>
      <c r="E34" s="59"/>
      <c r="F34" s="60"/>
      <c r="G34" s="40"/>
      <c r="H34" s="56"/>
      <c r="I34" s="57"/>
      <c r="J34" s="57"/>
      <c r="K34" s="58"/>
      <c r="L34" s="59"/>
      <c r="M34" s="60"/>
    </row>
    <row r="35" spans="1:13" x14ac:dyDescent="0.25">
      <c r="B35" s="27"/>
      <c r="C35" s="27"/>
      <c r="F35" s="61">
        <f>C33-F33</f>
        <v>0</v>
      </c>
      <c r="M35" s="61">
        <f>J33-M33</f>
        <v>0</v>
      </c>
    </row>
    <row r="36" spans="1:13" x14ac:dyDescent="0.25">
      <c r="A36" s="62" t="s">
        <v>112</v>
      </c>
      <c r="B36" s="63">
        <f>(C26+C30)/(F26+F30)</f>
        <v>2.0205291960852314</v>
      </c>
      <c r="H36" s="62" t="s">
        <v>112</v>
      </c>
      <c r="I36" s="63">
        <f>(J26+J30)/(M26+M30)</f>
        <v>1.9863179327455542</v>
      </c>
      <c r="J36" s="61"/>
      <c r="M36" s="61"/>
    </row>
    <row r="37" spans="1:13" x14ac:dyDescent="0.25">
      <c r="A37" s="62" t="s">
        <v>113</v>
      </c>
      <c r="B37" s="63">
        <f>(C26+C30-C20)/(F26+F30)</f>
        <v>1.0280956836776314</v>
      </c>
      <c r="H37" s="62" t="s">
        <v>113</v>
      </c>
      <c r="I37" s="63">
        <f>(J26+J30-J20)/(M26+M30)</f>
        <v>0.96100925195993558</v>
      </c>
      <c r="J37" s="61"/>
      <c r="M37" s="61"/>
    </row>
    <row r="38" spans="1:13" x14ac:dyDescent="0.25">
      <c r="A38" s="62" t="s">
        <v>120</v>
      </c>
      <c r="B38" s="78">
        <f>'ΘΕΜΑ1 ΑΠΟΤΕΛΕΣΜΑΤΑ'!B18/'ΘΕΜΑ1 ΙΣΟΛΟΓΙΣΜΟΣ'!F9</f>
        <v>7.7349556433017941E-2</v>
      </c>
      <c r="H38" s="62" t="s">
        <v>120</v>
      </c>
      <c r="I38" s="78">
        <f>'ΘΕΜΑ1 ΑΠΟΤΕΛΕΣΜΑΤΑ'!E18/'ΘΕΜΑ1 ΙΣΟΛΟΓΙΣΜΟΣ'!M9</f>
        <v>7.7725799038989421E-2</v>
      </c>
      <c r="J38" s="61"/>
      <c r="M38" s="61"/>
    </row>
    <row r="39" spans="1:13" ht="16.5" thickBot="1" x14ac:dyDescent="0.3"/>
    <row r="40" spans="1:13" x14ac:dyDescent="0.25">
      <c r="A40" s="89" t="s">
        <v>118</v>
      </c>
      <c r="B40" s="91"/>
      <c r="C40" s="91"/>
      <c r="D40" s="91"/>
      <c r="E40" s="91"/>
      <c r="F40" s="90"/>
      <c r="G40" s="39"/>
      <c r="H40" s="89" t="s">
        <v>119</v>
      </c>
      <c r="I40" s="91"/>
      <c r="J40" s="91"/>
      <c r="K40" s="91"/>
      <c r="L40" s="91"/>
      <c r="M40" s="90"/>
    </row>
    <row r="41" spans="1:13" x14ac:dyDescent="0.25">
      <c r="A41" s="85" t="s">
        <v>38</v>
      </c>
      <c r="B41" s="92"/>
      <c r="C41" s="92"/>
      <c r="D41" s="92"/>
      <c r="E41" s="92"/>
      <c r="F41" s="86"/>
      <c r="G41" s="39"/>
      <c r="H41" s="85" t="s">
        <v>38</v>
      </c>
      <c r="I41" s="92"/>
      <c r="J41" s="92"/>
      <c r="K41" s="92"/>
      <c r="L41" s="92"/>
      <c r="M41" s="86"/>
    </row>
    <row r="42" spans="1:13" x14ac:dyDescent="0.25">
      <c r="A42" s="32" t="s">
        <v>13</v>
      </c>
      <c r="B42" s="40"/>
      <c r="C42" s="40"/>
      <c r="D42" s="41"/>
      <c r="E42" s="42" t="s">
        <v>20</v>
      </c>
      <c r="F42" s="29"/>
      <c r="G42" s="40"/>
      <c r="H42" s="32" t="s">
        <v>13</v>
      </c>
      <c r="I42" s="40"/>
      <c r="J42" s="40"/>
      <c r="K42" s="41"/>
      <c r="L42" s="42" t="s">
        <v>20</v>
      </c>
      <c r="M42" s="29"/>
    </row>
    <row r="43" spans="1:13" x14ac:dyDescent="0.25">
      <c r="A43" s="28" t="s">
        <v>45</v>
      </c>
      <c r="B43" s="68"/>
      <c r="C43" s="68">
        <f>C4/$C$33</f>
        <v>0.1015821418594611</v>
      </c>
      <c r="D43" s="41"/>
      <c r="E43" s="43" t="s">
        <v>109</v>
      </c>
      <c r="F43" s="64">
        <f t="shared" ref="F43:F47" si="0">F4/$C$33</f>
        <v>0.25395535464865276</v>
      </c>
      <c r="G43" s="40"/>
      <c r="H43" s="28" t="s">
        <v>45</v>
      </c>
      <c r="I43" s="68"/>
      <c r="J43" s="68">
        <f>J4/$J$33</f>
        <v>4.9214051596011693E-2</v>
      </c>
      <c r="K43" s="41"/>
      <c r="L43" s="43" t="s">
        <v>109</v>
      </c>
      <c r="M43" s="64">
        <f>M4/$J$33</f>
        <v>0.24607025798005847</v>
      </c>
    </row>
    <row r="44" spans="1:13" x14ac:dyDescent="0.25">
      <c r="A44" s="32" t="s">
        <v>12</v>
      </c>
      <c r="B44" s="68"/>
      <c r="C44" s="69">
        <f>SUM(C43)</f>
        <v>0.1015821418594611</v>
      </c>
      <c r="D44" s="41"/>
      <c r="E44" s="27" t="s">
        <v>110</v>
      </c>
      <c r="F44" s="64">
        <f t="shared" si="0"/>
        <v>3.0474642557838331E-2</v>
      </c>
      <c r="G44" s="40"/>
      <c r="H44" s="32" t="s">
        <v>12</v>
      </c>
      <c r="I44" s="68"/>
      <c r="J44" s="69">
        <f>SUM(J43)</f>
        <v>4.9214051596011693E-2</v>
      </c>
      <c r="K44" s="41"/>
      <c r="L44" s="27" t="s">
        <v>110</v>
      </c>
      <c r="M44" s="64">
        <f>M5/$J$33</f>
        <v>2.9528430957607016E-2</v>
      </c>
    </row>
    <row r="45" spans="1:13" x14ac:dyDescent="0.25">
      <c r="A45" s="32"/>
      <c r="B45" s="68"/>
      <c r="C45" s="68"/>
      <c r="D45" s="41"/>
      <c r="E45" s="27" t="s">
        <v>88</v>
      </c>
      <c r="F45" s="64">
        <f t="shared" si="0"/>
        <v>1.2241156004774361E-2</v>
      </c>
      <c r="G45" s="40"/>
      <c r="H45" s="32"/>
      <c r="I45" s="68"/>
      <c r="J45" s="68"/>
      <c r="K45" s="41"/>
      <c r="L45" s="27" t="s">
        <v>88</v>
      </c>
      <c r="M45" s="64">
        <f>M6/$J$33</f>
        <v>1.3999921257517447E-2</v>
      </c>
    </row>
    <row r="46" spans="1:13" x14ac:dyDescent="0.25">
      <c r="A46" s="32" t="s">
        <v>68</v>
      </c>
      <c r="B46" s="68"/>
      <c r="C46" s="68"/>
      <c r="D46" s="41"/>
      <c r="E46" s="43" t="s">
        <v>21</v>
      </c>
      <c r="F46" s="64">
        <f t="shared" si="0"/>
        <v>0.26222414099601288</v>
      </c>
      <c r="G46" s="40"/>
      <c r="H46" s="32" t="s">
        <v>68</v>
      </c>
      <c r="I46" s="68"/>
      <c r="J46" s="68"/>
      <c r="K46" s="41"/>
      <c r="L46" s="43" t="s">
        <v>21</v>
      </c>
      <c r="M46" s="64">
        <f>M7/$J$33</f>
        <v>0.28049991633611226</v>
      </c>
    </row>
    <row r="47" spans="1:13" ht="16.5" thickBot="1" x14ac:dyDescent="0.3">
      <c r="A47" s="28" t="s">
        <v>11</v>
      </c>
      <c r="B47" s="68"/>
      <c r="C47" s="68">
        <f>C8/$C$33</f>
        <v>0.16507098052162431</v>
      </c>
      <c r="D47" s="41"/>
      <c r="E47" s="43" t="s">
        <v>111</v>
      </c>
      <c r="F47" s="76">
        <f t="shared" si="0"/>
        <v>-2.0316428371892223E-2</v>
      </c>
      <c r="G47" s="40"/>
      <c r="H47" s="28" t="s">
        <v>11</v>
      </c>
      <c r="I47" s="68"/>
      <c r="J47" s="68">
        <f>J8/$J$33</f>
        <v>0.18427217339094659</v>
      </c>
      <c r="K47" s="41"/>
      <c r="L47" s="43" t="s">
        <v>111</v>
      </c>
      <c r="M47" s="76">
        <f>M8/$J$33</f>
        <v>-1.9685620638404677E-2</v>
      </c>
    </row>
    <row r="48" spans="1:13" ht="16.5" thickTop="1" x14ac:dyDescent="0.25">
      <c r="A48" s="28" t="s">
        <v>74</v>
      </c>
      <c r="B48" s="68">
        <f t="shared" ref="B48:B49" si="1">B9/$C$33</f>
        <v>0.39363079970541182</v>
      </c>
      <c r="C48" s="68"/>
      <c r="D48" s="41"/>
      <c r="E48" s="42" t="s">
        <v>22</v>
      </c>
      <c r="F48" s="66">
        <f>SUM(F43:F47)</f>
        <v>0.53857886583538617</v>
      </c>
      <c r="G48" s="44"/>
      <c r="H48" s="28" t="s">
        <v>74</v>
      </c>
      <c r="I48" s="68">
        <f>I9/$J$33</f>
        <v>0.39568097483193404</v>
      </c>
      <c r="J48" s="68"/>
      <c r="K48" s="41"/>
      <c r="L48" s="42" t="s">
        <v>22</v>
      </c>
      <c r="M48" s="66">
        <f>SUM(M43:M47)</f>
        <v>0.5504129058928906</v>
      </c>
    </row>
    <row r="49" spans="1:13" x14ac:dyDescent="0.25">
      <c r="A49" s="28" t="s">
        <v>75</v>
      </c>
      <c r="B49" s="70">
        <f t="shared" si="1"/>
        <v>-0.1752291947075704</v>
      </c>
      <c r="C49" s="70"/>
      <c r="D49" s="41"/>
      <c r="E49" s="43"/>
      <c r="F49" s="64"/>
      <c r="G49" s="40"/>
      <c r="H49" s="28" t="s">
        <v>75</v>
      </c>
      <c r="I49" s="70">
        <f>I10/$J$33</f>
        <v>-0.18639822041989429</v>
      </c>
      <c r="J49" s="70"/>
      <c r="K49" s="41"/>
      <c r="L49" s="43"/>
      <c r="M49" s="64"/>
    </row>
    <row r="50" spans="1:13" x14ac:dyDescent="0.25">
      <c r="A50" s="47" t="s">
        <v>42</v>
      </c>
      <c r="B50" s="68"/>
      <c r="C50" s="71">
        <f>SUM(B48:B49)</f>
        <v>0.21840160499784142</v>
      </c>
      <c r="D50" s="41"/>
      <c r="E50" s="42" t="s">
        <v>23</v>
      </c>
      <c r="F50" s="64"/>
      <c r="G50" s="40"/>
      <c r="H50" s="47" t="s">
        <v>42</v>
      </c>
      <c r="I50" s="68"/>
      <c r="J50" s="71">
        <f>SUM(I48:I49)</f>
        <v>0.20928275441203975</v>
      </c>
      <c r="K50" s="41"/>
      <c r="L50" s="42" t="s">
        <v>23</v>
      </c>
      <c r="M50" s="64"/>
    </row>
    <row r="51" spans="1:13" ht="16.5" thickBot="1" x14ac:dyDescent="0.3">
      <c r="A51" s="28" t="s">
        <v>70</v>
      </c>
      <c r="B51" s="68">
        <f t="shared" ref="B51:B52" si="2">B12/$C$33</f>
        <v>6.3742794016811849E-2</v>
      </c>
      <c r="C51" s="68"/>
      <c r="D51" s="41"/>
      <c r="E51" s="43" t="s">
        <v>53</v>
      </c>
      <c r="F51" s="76">
        <f>F12/$C$33</f>
        <v>0.22855981918378748</v>
      </c>
      <c r="G51" s="40"/>
      <c r="H51" s="28" t="s">
        <v>70</v>
      </c>
      <c r="I51" s="68">
        <f>I12/$J$33</f>
        <v>6.9145742492396425E-2</v>
      </c>
      <c r="J51" s="68"/>
      <c r="K51" s="41"/>
      <c r="L51" s="43" t="s">
        <v>53</v>
      </c>
      <c r="M51" s="76">
        <f>M12/$J$33</f>
        <v>0.24607025798005847</v>
      </c>
    </row>
    <row r="52" spans="1:13" ht="16.5" thickTop="1" x14ac:dyDescent="0.25">
      <c r="A52" s="28" t="s">
        <v>69</v>
      </c>
      <c r="B52" s="70">
        <f t="shared" si="2"/>
        <v>-1.9300606953297609E-2</v>
      </c>
      <c r="C52" s="70"/>
      <c r="D52" s="41"/>
      <c r="E52" s="42" t="s">
        <v>24</v>
      </c>
      <c r="F52" s="66">
        <f>SUM(F51:F51)</f>
        <v>0.22855981918378748</v>
      </c>
      <c r="G52" s="44"/>
      <c r="H52" s="28" t="s">
        <v>69</v>
      </c>
      <c r="I52" s="70">
        <f>I13/$J$33</f>
        <v>-2.4434776617419805E-2</v>
      </c>
      <c r="J52" s="70"/>
      <c r="K52" s="41"/>
      <c r="L52" s="42" t="s">
        <v>24</v>
      </c>
      <c r="M52" s="66">
        <f>SUM(M51:M51)</f>
        <v>0.24607025798005847</v>
      </c>
    </row>
    <row r="53" spans="1:13" x14ac:dyDescent="0.25">
      <c r="A53" s="47" t="s">
        <v>43</v>
      </c>
      <c r="B53" s="68"/>
      <c r="C53" s="71">
        <f>B51+B52</f>
        <v>4.4442187063514244E-2</v>
      </c>
      <c r="D53" s="41"/>
      <c r="E53" s="43"/>
      <c r="F53" s="64"/>
      <c r="G53" s="40"/>
      <c r="H53" s="47" t="s">
        <v>43</v>
      </c>
      <c r="I53" s="68"/>
      <c r="J53" s="71">
        <f>I51+I52</f>
        <v>4.4710965874976624E-2</v>
      </c>
      <c r="K53" s="41"/>
      <c r="L53" s="43"/>
      <c r="M53" s="64"/>
    </row>
    <row r="54" spans="1:13" x14ac:dyDescent="0.25">
      <c r="A54" s="32" t="s">
        <v>14</v>
      </c>
      <c r="B54" s="69"/>
      <c r="C54" s="69">
        <f>C47+C50+C53</f>
        <v>0.42791477258297994</v>
      </c>
      <c r="D54" s="41"/>
      <c r="E54" s="43"/>
      <c r="F54" s="64"/>
      <c r="G54" s="40"/>
      <c r="H54" s="32" t="s">
        <v>14</v>
      </c>
      <c r="I54" s="69"/>
      <c r="J54" s="69">
        <f>J47+J50+J53</f>
        <v>0.43826589367796298</v>
      </c>
      <c r="K54" s="41"/>
      <c r="L54" s="43"/>
      <c r="M54" s="64"/>
    </row>
    <row r="55" spans="1:13" ht="16.5" thickBot="1" x14ac:dyDescent="0.3">
      <c r="A55" s="28" t="s">
        <v>8</v>
      </c>
      <c r="B55" s="68"/>
      <c r="C55" s="72">
        <f>C16/$C$33</f>
        <v>0</v>
      </c>
      <c r="D55" s="41"/>
      <c r="E55" s="43"/>
      <c r="F55" s="64"/>
      <c r="G55" s="40"/>
      <c r="H55" s="28" t="s">
        <v>8</v>
      </c>
      <c r="I55" s="68"/>
      <c r="J55" s="72">
        <f>J16/$J$33</f>
        <v>0.10827091351122572</v>
      </c>
      <c r="K55" s="41"/>
      <c r="L55" s="43"/>
      <c r="M55" s="64"/>
    </row>
    <row r="56" spans="1:13" ht="16.5" thickTop="1" x14ac:dyDescent="0.25">
      <c r="A56" s="32" t="s">
        <v>15</v>
      </c>
      <c r="B56" s="69"/>
      <c r="C56" s="69">
        <f>C44+C54+C55</f>
        <v>0.52949691444244107</v>
      </c>
      <c r="D56" s="41"/>
      <c r="E56" s="43"/>
      <c r="F56" s="64"/>
      <c r="G56" s="40"/>
      <c r="H56" s="32" t="s">
        <v>15</v>
      </c>
      <c r="I56" s="69"/>
      <c r="J56" s="69">
        <f>J44+J54+J55</f>
        <v>0.5957508587852004</v>
      </c>
      <c r="K56" s="41"/>
      <c r="L56" s="43"/>
      <c r="M56" s="64"/>
    </row>
    <row r="57" spans="1:13" x14ac:dyDescent="0.25">
      <c r="A57" s="28"/>
      <c r="B57" s="68"/>
      <c r="C57" s="68"/>
      <c r="D57" s="41"/>
      <c r="F57" s="64"/>
      <c r="G57" s="40"/>
      <c r="H57" s="28"/>
      <c r="I57" s="68"/>
      <c r="J57" s="68"/>
      <c r="K57" s="41"/>
      <c r="M57" s="64"/>
    </row>
    <row r="58" spans="1:13" x14ac:dyDescent="0.25">
      <c r="A58" s="32" t="s">
        <v>16</v>
      </c>
      <c r="B58" s="68"/>
      <c r="C58" s="68"/>
      <c r="D58" s="41"/>
      <c r="E58" s="42" t="s">
        <v>25</v>
      </c>
      <c r="F58" s="66"/>
      <c r="G58" s="44"/>
      <c r="H58" s="32" t="s">
        <v>16</v>
      </c>
      <c r="I58" s="68"/>
      <c r="J58" s="68"/>
      <c r="K58" s="41"/>
      <c r="L58" s="42" t="s">
        <v>25</v>
      </c>
      <c r="M58" s="66"/>
    </row>
    <row r="59" spans="1:13" x14ac:dyDescent="0.25">
      <c r="A59" s="28" t="s">
        <v>76</v>
      </c>
      <c r="B59" s="68"/>
      <c r="C59" s="68">
        <f t="shared" ref="C59:C60" si="3">C20/$C$33</f>
        <v>0.23109937273027401</v>
      </c>
      <c r="D59" s="41"/>
      <c r="E59" s="43" t="s">
        <v>77</v>
      </c>
      <c r="F59" s="64">
        <f t="shared" ref="F59:F64" si="4">F20/$C$33</f>
        <v>0.11427990959189374</v>
      </c>
      <c r="G59" s="40"/>
      <c r="H59" s="28" t="s">
        <v>76</v>
      </c>
      <c r="I59" s="68"/>
      <c r="J59" s="68">
        <f>J20/$J$33</f>
        <v>0.20866757876708958</v>
      </c>
      <c r="K59" s="41"/>
      <c r="L59" s="43" t="s">
        <v>77</v>
      </c>
      <c r="M59" s="64">
        <f t="shared" ref="M59:M64" si="5">M20/$J$33</f>
        <v>9.4490979064342451E-2</v>
      </c>
    </row>
    <row r="60" spans="1:13" x14ac:dyDescent="0.25">
      <c r="A60" s="28" t="s">
        <v>6</v>
      </c>
      <c r="B60" s="68"/>
      <c r="C60" s="68">
        <f t="shared" si="3"/>
        <v>7.3647052848109296E-2</v>
      </c>
      <c r="D60" s="41"/>
      <c r="E60" s="43" t="s">
        <v>7</v>
      </c>
      <c r="F60" s="64">
        <f t="shared" si="4"/>
        <v>5.1806892348325168E-2</v>
      </c>
      <c r="G60" s="40"/>
      <c r="H60" s="28" t="s">
        <v>6</v>
      </c>
      <c r="I60" s="68"/>
      <c r="J60" s="68">
        <f>J21/$J$33</f>
        <v>7.9234623069578833E-2</v>
      </c>
      <c r="K60" s="41"/>
      <c r="L60" s="43" t="s">
        <v>7</v>
      </c>
      <c r="M60" s="64">
        <f t="shared" si="5"/>
        <v>4.8229770564091459E-2</v>
      </c>
    </row>
    <row r="61" spans="1:13" x14ac:dyDescent="0.25">
      <c r="A61" s="28" t="s">
        <v>2</v>
      </c>
      <c r="B61" s="68">
        <f t="shared" ref="B61:B62" si="6">B22/$C$33</f>
        <v>8.4821088452650018E-2</v>
      </c>
      <c r="C61" s="68"/>
      <c r="D61" s="41"/>
      <c r="E61" s="27" t="s">
        <v>55</v>
      </c>
      <c r="F61" s="64">
        <f t="shared" si="4"/>
        <v>1.7776874825405693E-2</v>
      </c>
      <c r="G61" s="40"/>
      <c r="H61" s="28" t="s">
        <v>2</v>
      </c>
      <c r="I61" s="68">
        <f>I22/$J$33</f>
        <v>8.0218904101499067E-2</v>
      </c>
      <c r="J61" s="68"/>
      <c r="K61" s="41"/>
      <c r="L61" s="27" t="s">
        <v>55</v>
      </c>
      <c r="M61" s="64">
        <f t="shared" si="5"/>
        <v>1.1319231867082689E-2</v>
      </c>
    </row>
    <row r="62" spans="1:13" x14ac:dyDescent="0.25">
      <c r="A62" s="28" t="s">
        <v>108</v>
      </c>
      <c r="B62" s="70">
        <f t="shared" si="6"/>
        <v>-5.8409731569190139E-2</v>
      </c>
      <c r="C62" s="73">
        <f>SUM(B61:B62)</f>
        <v>2.6411356883459879E-2</v>
      </c>
      <c r="D62" s="41"/>
      <c r="E62" s="27" t="s">
        <v>91</v>
      </c>
      <c r="F62" s="64">
        <f t="shared" si="4"/>
        <v>1.6391294410442646E-2</v>
      </c>
      <c r="G62" s="40"/>
      <c r="H62" s="28" t="s">
        <v>108</v>
      </c>
      <c r="I62" s="70">
        <f>I23/$J$33</f>
        <v>-4.6753349016211108E-2</v>
      </c>
      <c r="J62" s="73">
        <f>SUM(I61:I62)</f>
        <v>3.3465555085287958E-2</v>
      </c>
      <c r="K62" s="41"/>
      <c r="L62" s="27" t="s">
        <v>91</v>
      </c>
      <c r="M62" s="64">
        <f t="shared" si="5"/>
        <v>1.6341033691939722E-2</v>
      </c>
    </row>
    <row r="63" spans="1:13" x14ac:dyDescent="0.25">
      <c r="A63" s="28" t="s">
        <v>71</v>
      </c>
      <c r="B63" s="68"/>
      <c r="C63" s="68">
        <f t="shared" ref="C63:C64" si="7">C24/$C$33</f>
        <v>4.1648678162379056E-2</v>
      </c>
      <c r="D63" s="41"/>
      <c r="E63" s="27" t="s">
        <v>92</v>
      </c>
      <c r="F63" s="64">
        <f t="shared" si="4"/>
        <v>5.0064758615435403E-3</v>
      </c>
      <c r="G63" s="40"/>
      <c r="H63" s="28" t="s">
        <v>71</v>
      </c>
      <c r="I63" s="68"/>
      <c r="J63" s="68">
        <f>J24/$J$33</f>
        <v>2.0177761154364794E-2</v>
      </c>
      <c r="K63" s="41"/>
      <c r="L63" s="27" t="s">
        <v>92</v>
      </c>
      <c r="M63" s="64">
        <f t="shared" si="5"/>
        <v>4.9479807474630154E-3</v>
      </c>
    </row>
    <row r="64" spans="1:13" ht="16.5" thickBot="1" x14ac:dyDescent="0.3">
      <c r="A64" s="28" t="s">
        <v>72</v>
      </c>
      <c r="B64" s="68"/>
      <c r="C64" s="72">
        <f t="shared" si="7"/>
        <v>7.7710338522487751E-2</v>
      </c>
      <c r="D64" s="41"/>
      <c r="E64" s="27" t="s">
        <v>93</v>
      </c>
      <c r="F64" s="76">
        <f t="shared" si="4"/>
        <v>2.7599867943215582E-2</v>
      </c>
      <c r="G64" s="40"/>
      <c r="H64" s="28" t="s">
        <v>72</v>
      </c>
      <c r="I64" s="68"/>
      <c r="J64" s="72">
        <f>J25/$J$33</f>
        <v>4.7245489532171225E-2</v>
      </c>
      <c r="K64" s="41"/>
      <c r="L64" s="27" t="s">
        <v>93</v>
      </c>
      <c r="M64" s="76">
        <f t="shared" si="5"/>
        <v>2.8187840192131657E-2</v>
      </c>
    </row>
    <row r="65" spans="1:13" ht="16.5" thickTop="1" x14ac:dyDescent="0.25">
      <c r="A65" s="32" t="s">
        <v>17</v>
      </c>
      <c r="B65" s="69"/>
      <c r="C65" s="69">
        <f>SUM(C59:C64)</f>
        <v>0.45051679914670995</v>
      </c>
      <c r="D65" s="41"/>
      <c r="E65" s="42" t="s">
        <v>26</v>
      </c>
      <c r="F65" s="66">
        <f>SUM(F56:F64)</f>
        <v>0.23286131498082638</v>
      </c>
      <c r="G65" s="44"/>
      <c r="H65" s="32" t="s">
        <v>17</v>
      </c>
      <c r="I65" s="69"/>
      <c r="J65" s="69">
        <f>SUM(J59:J64)</f>
        <v>0.38879100760849244</v>
      </c>
      <c r="K65" s="41"/>
      <c r="L65" s="42" t="s">
        <v>26</v>
      </c>
      <c r="M65" s="66">
        <f>SUM(M56:M64)</f>
        <v>0.20351683612705102</v>
      </c>
    </row>
    <row r="66" spans="1:13" x14ac:dyDescent="0.25">
      <c r="A66" s="28"/>
      <c r="B66" s="68"/>
      <c r="C66" s="68"/>
      <c r="D66" s="41"/>
      <c r="F66" s="64"/>
      <c r="G66" s="40"/>
      <c r="H66" s="28"/>
      <c r="I66" s="68"/>
      <c r="J66" s="68"/>
      <c r="K66" s="41"/>
      <c r="M66" s="64"/>
    </row>
    <row r="67" spans="1:13" x14ac:dyDescent="0.25">
      <c r="A67" s="32" t="s">
        <v>18</v>
      </c>
      <c r="B67" s="68"/>
      <c r="C67" s="68"/>
      <c r="D67" s="41"/>
      <c r="E67" s="42" t="s">
        <v>27</v>
      </c>
      <c r="F67" s="64"/>
      <c r="G67" s="40"/>
      <c r="H67" s="32" t="s">
        <v>18</v>
      </c>
      <c r="I67" s="68"/>
      <c r="J67" s="68"/>
      <c r="K67" s="41"/>
      <c r="L67" s="42" t="s">
        <v>27</v>
      </c>
      <c r="M67" s="64"/>
    </row>
    <row r="68" spans="1:13" ht="16.5" thickBot="1" x14ac:dyDescent="0.3">
      <c r="A68" s="28" t="s">
        <v>51</v>
      </c>
      <c r="B68" s="68"/>
      <c r="C68" s="72">
        <f>C29/$C$33</f>
        <v>1.9986286410848972E-2</v>
      </c>
      <c r="D68" s="41"/>
      <c r="E68" s="43" t="s">
        <v>4</v>
      </c>
      <c r="F68" s="76">
        <f>F29/$C$33</f>
        <v>0</v>
      </c>
      <c r="G68" s="40"/>
      <c r="H68" s="28" t="s">
        <v>51</v>
      </c>
      <c r="I68" s="68"/>
      <c r="J68" s="72">
        <f>J29/$J$33</f>
        <v>1.5458133606307272E-2</v>
      </c>
      <c r="K68" s="41"/>
      <c r="L68" s="43" t="s">
        <v>4</v>
      </c>
      <c r="M68" s="76">
        <f>M29/$J$33</f>
        <v>0</v>
      </c>
    </row>
    <row r="69" spans="1:13" ht="16.5" thickTop="1" x14ac:dyDescent="0.25">
      <c r="A69" s="32" t="s">
        <v>37</v>
      </c>
      <c r="B69" s="68"/>
      <c r="C69" s="69">
        <f>SUM(C68:C68)</f>
        <v>1.9986286410848972E-2</v>
      </c>
      <c r="D69" s="41"/>
      <c r="E69" s="42" t="s">
        <v>28</v>
      </c>
      <c r="F69" s="66">
        <f>F68</f>
        <v>0</v>
      </c>
      <c r="G69" s="44"/>
      <c r="H69" s="32" t="s">
        <v>37</v>
      </c>
      <c r="I69" s="68"/>
      <c r="J69" s="69">
        <f>SUM(J68:J68)</f>
        <v>1.5458133606307272E-2</v>
      </c>
      <c r="K69" s="41"/>
      <c r="L69" s="42" t="s">
        <v>28</v>
      </c>
      <c r="M69" s="66">
        <f>M68</f>
        <v>0</v>
      </c>
    </row>
    <row r="70" spans="1:13" x14ac:dyDescent="0.25">
      <c r="A70" s="28"/>
      <c r="B70" s="68"/>
      <c r="C70" s="68"/>
      <c r="D70" s="41"/>
      <c r="E70" s="43"/>
      <c r="F70" s="64"/>
      <c r="G70" s="40"/>
      <c r="H70" s="28"/>
      <c r="I70" s="68"/>
      <c r="J70" s="68"/>
      <c r="K70" s="41"/>
      <c r="L70" s="43"/>
      <c r="M70" s="64"/>
    </row>
    <row r="71" spans="1:13" x14ac:dyDescent="0.25">
      <c r="A71" s="28"/>
      <c r="B71" s="68"/>
      <c r="C71" s="68"/>
      <c r="D71" s="41"/>
      <c r="E71" s="43"/>
      <c r="F71" s="64"/>
      <c r="G71" s="40"/>
      <c r="H71" s="28"/>
      <c r="I71" s="68"/>
      <c r="J71" s="68"/>
      <c r="K71" s="41"/>
      <c r="L71" s="43"/>
      <c r="M71" s="64"/>
    </row>
    <row r="72" spans="1:13" ht="16.5" thickBot="1" x14ac:dyDescent="0.3">
      <c r="A72" s="51" t="s">
        <v>19</v>
      </c>
      <c r="B72" s="74"/>
      <c r="C72" s="75">
        <f>C56+C65+C69</f>
        <v>1</v>
      </c>
      <c r="D72" s="41"/>
      <c r="E72" s="54" t="s">
        <v>73</v>
      </c>
      <c r="F72" s="77">
        <f>F48+F52+F65+F69</f>
        <v>1</v>
      </c>
      <c r="G72" s="52"/>
      <c r="H72" s="51" t="s">
        <v>19</v>
      </c>
      <c r="I72" s="74"/>
      <c r="J72" s="75">
        <f>J56+J65+J69</f>
        <v>1.0000000000000002</v>
      </c>
      <c r="K72" s="41"/>
      <c r="L72" s="54" t="s">
        <v>73</v>
      </c>
      <c r="M72" s="77">
        <f>M48+M52+M65+M69</f>
        <v>1</v>
      </c>
    </row>
    <row r="73" spans="1:13" ht="17.25" thickTop="1" thickBot="1" x14ac:dyDescent="0.3">
      <c r="A73" s="56"/>
      <c r="B73" s="57"/>
      <c r="C73" s="57"/>
      <c r="D73" s="58"/>
      <c r="E73" s="59"/>
      <c r="F73" s="60"/>
      <c r="G73" s="40"/>
      <c r="H73" s="56"/>
      <c r="I73" s="57"/>
      <c r="J73" s="57"/>
      <c r="K73" s="58"/>
      <c r="L73" s="59"/>
      <c r="M73" s="60"/>
    </row>
  </sheetData>
  <mergeCells count="8">
    <mergeCell ref="A40:F40"/>
    <mergeCell ref="H40:M40"/>
    <mergeCell ref="A41:F41"/>
    <mergeCell ref="H41:M41"/>
    <mergeCell ref="A1:F1"/>
    <mergeCell ref="A2:F2"/>
    <mergeCell ref="H1:M1"/>
    <mergeCell ref="H2:M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DAE7-A3EA-4732-A2BD-375FEDB58A13}">
  <dimension ref="A1:N62"/>
  <sheetViews>
    <sheetView showGridLines="0" tabSelected="1" topLeftCell="A7" workbookViewId="0">
      <selection activeCell="N19" sqref="N19"/>
    </sheetView>
  </sheetViews>
  <sheetFormatPr defaultRowHeight="15.75" x14ac:dyDescent="0.25"/>
  <cols>
    <col min="1" max="1" width="63.42578125" style="27" bestFit="1" customWidth="1"/>
    <col min="2" max="5" width="9" style="100" hidden="1" customWidth="1"/>
    <col min="6" max="7" width="9" style="100" bestFit="1" customWidth="1"/>
    <col min="8" max="8" width="9.140625" style="27"/>
    <col min="9" max="9" width="51.5703125" style="27" bestFit="1" customWidth="1"/>
    <col min="10" max="13" width="0" style="27" hidden="1" customWidth="1"/>
    <col min="14" max="16384" width="9.140625" style="27"/>
  </cols>
  <sheetData>
    <row r="1" spans="1:14" x14ac:dyDescent="0.25">
      <c r="A1" s="96" t="s">
        <v>153</v>
      </c>
      <c r="B1" s="96"/>
      <c r="C1" s="96"/>
      <c r="D1" s="96"/>
      <c r="E1" s="96"/>
      <c r="F1" s="96"/>
      <c r="G1" s="96"/>
    </row>
    <row r="2" spans="1:14" x14ac:dyDescent="0.25">
      <c r="A2" s="97" t="s">
        <v>154</v>
      </c>
      <c r="B2" s="93">
        <v>2014</v>
      </c>
      <c r="C2" s="93">
        <v>2015</v>
      </c>
      <c r="D2" s="93">
        <v>2016</v>
      </c>
      <c r="E2" s="93">
        <v>2017</v>
      </c>
      <c r="F2" s="93">
        <v>2018</v>
      </c>
      <c r="G2" s="93">
        <v>2019</v>
      </c>
      <c r="J2" s="93">
        <v>2015</v>
      </c>
      <c r="K2" s="93">
        <v>2016</v>
      </c>
      <c r="L2" s="93">
        <v>2017</v>
      </c>
      <c r="M2" s="93">
        <v>2018</v>
      </c>
      <c r="N2" s="93">
        <v>2019</v>
      </c>
    </row>
    <row r="3" spans="1:14" x14ac:dyDescent="0.25">
      <c r="A3" s="98" t="s">
        <v>155</v>
      </c>
      <c r="B3" s="99"/>
      <c r="C3" s="99"/>
      <c r="I3" s="27" t="s">
        <v>132</v>
      </c>
      <c r="J3" s="94">
        <f>C18/C42</f>
        <v>0.48344119471525521</v>
      </c>
      <c r="K3" s="94">
        <f>D18/D42</f>
        <v>0.54577240940877303</v>
      </c>
      <c r="L3" s="94">
        <f>E18/E42</f>
        <v>1.2631708578606438</v>
      </c>
      <c r="M3" s="94">
        <f t="shared" ref="M3" si="0">F18/F42</f>
        <v>1.3744667697063369</v>
      </c>
      <c r="N3" s="94">
        <f>G18/G42</f>
        <v>1.417621820410665</v>
      </c>
    </row>
    <row r="4" spans="1:14" x14ac:dyDescent="0.25">
      <c r="A4" s="101" t="s">
        <v>156</v>
      </c>
      <c r="B4" s="102">
        <v>55186</v>
      </c>
      <c r="C4" s="102">
        <v>51608</v>
      </c>
      <c r="D4" s="102">
        <v>48139</v>
      </c>
      <c r="E4" s="102">
        <v>47417</v>
      </c>
      <c r="F4" s="102">
        <v>47032</v>
      </c>
      <c r="G4" s="102">
        <v>45421</v>
      </c>
      <c r="I4" s="27" t="s">
        <v>133</v>
      </c>
      <c r="J4" s="94">
        <f>(C18-C14)/C42</f>
        <v>0.39654102898832505</v>
      </c>
      <c r="K4" s="94">
        <f>(D18-D14)/D42</f>
        <v>0.44838299530381642</v>
      </c>
      <c r="L4" s="94">
        <f>(E18-E14)/E42</f>
        <v>0.98687224452599687</v>
      </c>
      <c r="M4" s="94">
        <f t="shared" ref="M4" si="1">(F18-F14)/F42</f>
        <v>1.0537867078825347</v>
      </c>
      <c r="N4" s="94">
        <f>(G18-G14)/G42</f>
        <v>1.1326999693533557</v>
      </c>
    </row>
    <row r="5" spans="1:14" x14ac:dyDescent="0.25">
      <c r="A5" s="101" t="s">
        <v>157</v>
      </c>
      <c r="B5" s="102">
        <v>291</v>
      </c>
      <c r="C5" s="102">
        <v>265</v>
      </c>
      <c r="D5" s="102">
        <v>263</v>
      </c>
      <c r="E5" s="102">
        <v>242</v>
      </c>
      <c r="F5" s="102">
        <v>198</v>
      </c>
      <c r="G5" s="102">
        <f>186+676</f>
        <v>862</v>
      </c>
      <c r="I5" s="27" t="s">
        <v>134</v>
      </c>
      <c r="J5" s="94">
        <f>(C17+C16)/C42</f>
        <v>1.1610143599144515E-2</v>
      </c>
      <c r="K5" s="94">
        <f>(D17+D16)/D42</f>
        <v>5.4826405266287966E-2</v>
      </c>
      <c r="L5" s="94">
        <f>(E17+E16)/E42</f>
        <v>5.2658801507352034E-2</v>
      </c>
      <c r="M5" s="94">
        <f t="shared" ref="M5" si="2">(F17+F16)/F42</f>
        <v>5.1653786707882537E-2</v>
      </c>
      <c r="N5" s="94">
        <f>(G17+G16)/G42</f>
        <v>3.7971192154459085E-2</v>
      </c>
    </row>
    <row r="6" spans="1:14" x14ac:dyDescent="0.25">
      <c r="A6" s="101" t="s">
        <v>158</v>
      </c>
      <c r="B6" s="102">
        <v>240</v>
      </c>
      <c r="C6" s="102">
        <v>117</v>
      </c>
      <c r="D6" s="102">
        <v>1</v>
      </c>
      <c r="E6" s="102">
        <v>1</v>
      </c>
      <c r="F6" s="102">
        <v>1</v>
      </c>
      <c r="G6" s="102">
        <v>1</v>
      </c>
      <c r="I6" s="27" t="s">
        <v>135</v>
      </c>
      <c r="J6" s="94">
        <f>-(C18-C14)/((C50+C53+C54)/365)</f>
        <v>126.63283407991834</v>
      </c>
      <c r="K6" s="94">
        <f>-(D18-D14)/((D50+D53+D54)/365)</f>
        <v>152.89713672634613</v>
      </c>
      <c r="L6" s="94">
        <f>-(E18-E14)/((E50+E53+E54)/365)</f>
        <v>141.29987826322198</v>
      </c>
      <c r="M6" s="94">
        <f t="shared" ref="M6" si="3">-(F18-F14)/((F50+F53+F54)/365)</f>
        <v>116.7717747308952</v>
      </c>
      <c r="N6" s="94">
        <f>-(G18-G14)/((G50+G53+G54)/365)</f>
        <v>124.64796540636434</v>
      </c>
    </row>
    <row r="7" spans="1:14" x14ac:dyDescent="0.25">
      <c r="A7" s="101" t="s">
        <v>159</v>
      </c>
      <c r="B7" s="102">
        <v>232</v>
      </c>
      <c r="C7" s="102">
        <v>233</v>
      </c>
      <c r="D7" s="102">
        <v>233</v>
      </c>
      <c r="E7" s="102">
        <v>233</v>
      </c>
      <c r="F7" s="102">
        <v>233</v>
      </c>
      <c r="G7" s="102">
        <v>233</v>
      </c>
    </row>
    <row r="8" spans="1:14" x14ac:dyDescent="0.25">
      <c r="A8" s="101" t="s">
        <v>160</v>
      </c>
      <c r="B8" s="102">
        <v>88</v>
      </c>
      <c r="C8" s="102">
        <v>88</v>
      </c>
      <c r="D8" s="102">
        <v>88</v>
      </c>
      <c r="E8" s="102">
        <v>88</v>
      </c>
      <c r="F8" s="102">
        <v>88</v>
      </c>
      <c r="G8" s="102">
        <v>88</v>
      </c>
      <c r="I8" s="27" t="s">
        <v>136</v>
      </c>
      <c r="J8" s="94">
        <f>-C50/AVERAGE(B14:C14)</f>
        <v>8.850261110519023</v>
      </c>
      <c r="K8" s="94">
        <f>-D50/AVERAGE(C14:D14)</f>
        <v>8.2234696038974793</v>
      </c>
      <c r="L8" s="94">
        <f>-E50/AVERAGE(D14:E14)</f>
        <v>7.6690480787796869</v>
      </c>
      <c r="M8" s="94">
        <f>-F50/AVERAGE(E14:F14)</f>
        <v>7.5739162652834384</v>
      </c>
      <c r="N8" s="94">
        <f>-G50/AVERAGE(F14:G14)</f>
        <v>8.5373392303390787</v>
      </c>
    </row>
    <row r="9" spans="1:14" x14ac:dyDescent="0.25">
      <c r="A9" s="101" t="s">
        <v>161</v>
      </c>
      <c r="B9" s="99">
        <v>0</v>
      </c>
      <c r="C9" s="99">
        <v>3076</v>
      </c>
      <c r="D9" s="100">
        <v>2848</v>
      </c>
      <c r="E9" s="100">
        <v>2183</v>
      </c>
      <c r="F9" s="100">
        <v>0</v>
      </c>
      <c r="G9" s="100">
        <v>0</v>
      </c>
      <c r="I9" s="27" t="s">
        <v>137</v>
      </c>
      <c r="J9" s="94">
        <f>365/J8</f>
        <v>41.241721056814626</v>
      </c>
      <c r="K9" s="94">
        <f t="shared" ref="K9:N9" si="4">365/K8</f>
        <v>44.385158282461425</v>
      </c>
      <c r="L9" s="94">
        <f t="shared" si="4"/>
        <v>47.593912080165168</v>
      </c>
      <c r="M9" s="94">
        <f t="shared" si="4"/>
        <v>48.191713139614521</v>
      </c>
      <c r="N9" s="94">
        <f t="shared" si="4"/>
        <v>42.753367314127829</v>
      </c>
    </row>
    <row r="10" spans="1:14" ht="16.5" thickBot="1" x14ac:dyDescent="0.3">
      <c r="A10" s="101" t="s">
        <v>121</v>
      </c>
      <c r="B10" s="103">
        <v>236</v>
      </c>
      <c r="C10" s="103">
        <v>230</v>
      </c>
      <c r="D10" s="103">
        <v>235</v>
      </c>
      <c r="E10" s="103">
        <v>224</v>
      </c>
      <c r="F10" s="103">
        <v>208</v>
      </c>
      <c r="G10" s="103">
        <v>210</v>
      </c>
      <c r="I10" s="27" t="s">
        <v>138</v>
      </c>
      <c r="J10" s="94">
        <f>C49/AVERAGE(B15:C15)</f>
        <v>2.0812417437252311</v>
      </c>
      <c r="K10" s="94">
        <f>D49/AVERAGE(C15:D15)</f>
        <v>2.7414142424773007</v>
      </c>
      <c r="L10" s="94">
        <f>E49/AVERAGE(D15:E15)</f>
        <v>2.8139217947373938</v>
      </c>
      <c r="M10" s="94">
        <f>F49/AVERAGE(E15:F15)</f>
        <v>3.1782683478087819</v>
      </c>
      <c r="N10" s="94">
        <f>G49/AVERAGE(F15:G15)</f>
        <v>3.336278250660405</v>
      </c>
    </row>
    <row r="11" spans="1:14" x14ac:dyDescent="0.25">
      <c r="A11" s="104" t="s">
        <v>122</v>
      </c>
      <c r="B11" s="105">
        <f>SUM(B4:B10)</f>
        <v>56273</v>
      </c>
      <c r="C11" s="105">
        <f t="shared" ref="C11:G11" si="5">SUM(C4:C10)</f>
        <v>55617</v>
      </c>
      <c r="D11" s="105">
        <f t="shared" si="5"/>
        <v>51807</v>
      </c>
      <c r="E11" s="105">
        <f t="shared" si="5"/>
        <v>50388</v>
      </c>
      <c r="F11" s="105">
        <f t="shared" si="5"/>
        <v>47760</v>
      </c>
      <c r="G11" s="105">
        <f t="shared" si="5"/>
        <v>46815</v>
      </c>
      <c r="I11" s="27" t="s">
        <v>139</v>
      </c>
      <c r="J11" s="94">
        <f>365/J10</f>
        <v>175.37607108854334</v>
      </c>
      <c r="K11" s="94">
        <f t="shared" ref="K11:N11" si="6">365/K10</f>
        <v>133.1429575087364</v>
      </c>
      <c r="L11" s="94">
        <f t="shared" si="6"/>
        <v>129.71220475374415</v>
      </c>
      <c r="M11" s="94">
        <f t="shared" si="6"/>
        <v>114.84241104173748</v>
      </c>
      <c r="N11" s="94">
        <f t="shared" si="6"/>
        <v>109.40334485822622</v>
      </c>
    </row>
    <row r="12" spans="1:14" x14ac:dyDescent="0.25">
      <c r="A12" s="106"/>
      <c r="B12" s="107"/>
      <c r="C12" s="107"/>
      <c r="I12" s="27" t="s">
        <v>140</v>
      </c>
      <c r="J12" s="94">
        <f>C62/AVERAGE(B38:C38)</f>
        <v>1.9355801053465715</v>
      </c>
      <c r="K12" s="94">
        <f>D62/AVERAGE(C38:D38)</f>
        <v>2.1478033891750798</v>
      </c>
      <c r="L12" s="94">
        <f>E62/AVERAGE(D38:E38)</f>
        <v>2.5211947995464361</v>
      </c>
      <c r="M12" s="94">
        <f>F62/AVERAGE(E38:F38)</f>
        <v>2.9348468638366549</v>
      </c>
      <c r="N12" s="94">
        <f>G62/AVERAGE(F38:G38)</f>
        <v>3.3082694763729248</v>
      </c>
    </row>
    <row r="13" spans="1:14" x14ac:dyDescent="0.25">
      <c r="A13" s="98" t="s">
        <v>162</v>
      </c>
      <c r="B13" s="108"/>
      <c r="C13" s="108"/>
      <c r="I13" s="27" t="s">
        <v>141</v>
      </c>
      <c r="J13" s="94">
        <f>365/J12</f>
        <v>188.573957229554</v>
      </c>
      <c r="K13" s="94">
        <f t="shared" ref="K13:N13" si="7">365/K12</f>
        <v>169.94106715707707</v>
      </c>
      <c r="L13" s="94">
        <f t="shared" si="7"/>
        <v>144.77262925723298</v>
      </c>
      <c r="M13" s="94">
        <f t="shared" si="7"/>
        <v>124.36764742227274</v>
      </c>
      <c r="N13" s="94">
        <f t="shared" si="7"/>
        <v>110.3295854847271</v>
      </c>
    </row>
    <row r="14" spans="1:14" x14ac:dyDescent="0.25">
      <c r="A14" s="101" t="s">
        <v>123</v>
      </c>
      <c r="B14" s="102">
        <v>9380</v>
      </c>
      <c r="C14" s="102">
        <v>9386</v>
      </c>
      <c r="D14" s="102">
        <v>9498</v>
      </c>
      <c r="E14" s="102">
        <v>11218</v>
      </c>
      <c r="F14" s="102">
        <v>10374</v>
      </c>
      <c r="G14" s="102">
        <v>9297</v>
      </c>
      <c r="I14" s="27" t="s">
        <v>142</v>
      </c>
      <c r="J14" s="94">
        <f>J9+J11</f>
        <v>216.61779214535795</v>
      </c>
      <c r="K14" s="94">
        <f t="shared" ref="K14:N14" si="8">K9+K11</f>
        <v>177.52811579119782</v>
      </c>
      <c r="L14" s="94">
        <f t="shared" si="8"/>
        <v>177.3061168339093</v>
      </c>
      <c r="M14" s="94">
        <f t="shared" si="8"/>
        <v>163.03412418135201</v>
      </c>
      <c r="N14" s="94">
        <f t="shared" si="8"/>
        <v>152.15671217235405</v>
      </c>
    </row>
    <row r="15" spans="1:14" x14ac:dyDescent="0.25">
      <c r="A15" s="101" t="s">
        <v>163</v>
      </c>
      <c r="B15" s="102">
        <v>64404</v>
      </c>
      <c r="C15" s="102">
        <v>41576</v>
      </c>
      <c r="D15" s="102">
        <v>38382</v>
      </c>
      <c r="E15" s="102">
        <v>37930</v>
      </c>
      <c r="F15" s="102">
        <v>32419</v>
      </c>
      <c r="G15" s="102">
        <v>35721</v>
      </c>
      <c r="I15" s="27" t="s">
        <v>143</v>
      </c>
      <c r="J15" s="94">
        <f>J14-J13</f>
        <v>28.043834915803956</v>
      </c>
      <c r="K15" s="94">
        <f t="shared" ref="K15:N15" si="9">K14-K13</f>
        <v>7.5870486341207481</v>
      </c>
      <c r="L15" s="94">
        <f t="shared" si="9"/>
        <v>32.533487576676322</v>
      </c>
      <c r="M15" s="94">
        <f t="shared" si="9"/>
        <v>38.666476759079274</v>
      </c>
      <c r="N15" s="94">
        <f t="shared" si="9"/>
        <v>41.827126687626944</v>
      </c>
    </row>
    <row r="16" spans="1:14" x14ac:dyDescent="0.25">
      <c r="A16" s="101" t="s">
        <v>164</v>
      </c>
      <c r="B16" s="102">
        <v>56</v>
      </c>
      <c r="C16" s="102">
        <v>13</v>
      </c>
      <c r="D16" s="102">
        <v>1</v>
      </c>
      <c r="E16" s="102">
        <v>2</v>
      </c>
      <c r="F16" s="102">
        <v>0</v>
      </c>
      <c r="G16" s="102">
        <v>19</v>
      </c>
      <c r="I16" s="27" t="s">
        <v>144</v>
      </c>
      <c r="J16" s="94">
        <f>C49/(AVERAGE(B18:C18)-AVERAGE(B42:C42))</f>
        <v>-2.2838298180763936</v>
      </c>
      <c r="K16" s="94">
        <f>D49/(AVERAGE(C18:D18)-AVERAGE(C42:D42))</f>
        <v>-2.1899652319865726</v>
      </c>
      <c r="L16" s="94">
        <f>E49/(AVERAGE(D18:E18)-AVERAGE(D42:E42))</f>
        <v>-6.3882905932052125</v>
      </c>
      <c r="M16" s="94">
        <f>F49/(AVERAGE(E18:F18)-AVERAGE(E42:F42))</f>
        <v>9.8069213561998332</v>
      </c>
      <c r="N16" s="94">
        <f>G49/(AVERAGE(F18:G18)-AVERAGE(F42:G42))</f>
        <v>8.8315916242570225</v>
      </c>
    </row>
    <row r="17" spans="1:14" ht="16.5" thickBot="1" x14ac:dyDescent="0.3">
      <c r="A17" s="101" t="s">
        <v>165</v>
      </c>
      <c r="B17" s="103">
        <v>224</v>
      </c>
      <c r="C17" s="103">
        <v>1241</v>
      </c>
      <c r="D17" s="103">
        <v>5346</v>
      </c>
      <c r="E17" s="103">
        <v>2136</v>
      </c>
      <c r="F17" s="103">
        <v>1671</v>
      </c>
      <c r="G17" s="103">
        <v>1220</v>
      </c>
      <c r="I17" s="27" t="s">
        <v>145</v>
      </c>
      <c r="J17" s="94">
        <f>C49/AVERAGE(B20:C20)</f>
        <v>0.9261032035940715</v>
      </c>
      <c r="K17" s="94">
        <f>D49/AVERAGE(C20:D20)</f>
        <v>1.0297415757256878</v>
      </c>
      <c r="L17" s="94">
        <f>E49/AVERAGE(D20:E20)</f>
        <v>1.0388373938115603</v>
      </c>
      <c r="M17" s="94">
        <f>F49/AVERAGE(E20:F20)</f>
        <v>1.1531217444223252</v>
      </c>
      <c r="N17" s="94">
        <f>G49/AVERAGE(F20:G20)</f>
        <v>1.2268694413263104</v>
      </c>
    </row>
    <row r="18" spans="1:14" x14ac:dyDescent="0.25">
      <c r="A18" s="98" t="s">
        <v>124</v>
      </c>
      <c r="B18" s="109">
        <f>SUM(B14:B17)</f>
        <v>74064</v>
      </c>
      <c r="C18" s="109">
        <f t="shared" ref="C18:G18" si="10">SUM(C14:C17)</f>
        <v>52216</v>
      </c>
      <c r="D18" s="109">
        <f t="shared" si="10"/>
        <v>53227</v>
      </c>
      <c r="E18" s="109">
        <f t="shared" si="10"/>
        <v>51286</v>
      </c>
      <c r="F18" s="109">
        <f t="shared" si="10"/>
        <v>44464</v>
      </c>
      <c r="G18" s="109">
        <f t="shared" si="10"/>
        <v>46257</v>
      </c>
    </row>
    <row r="19" spans="1:14" x14ac:dyDescent="0.25">
      <c r="A19" s="101"/>
      <c r="B19" s="99"/>
      <c r="C19" s="99"/>
      <c r="I19" s="27" t="s">
        <v>146</v>
      </c>
      <c r="J19" s="95">
        <f>C27/C20</f>
        <v>-6.4080569028034093E-2</v>
      </c>
      <c r="K19" s="95">
        <f>D27/D20</f>
        <v>3.7559266523221051E-2</v>
      </c>
      <c r="L19" s="95">
        <f>E27/E20</f>
        <v>4.5026260400889119E-2</v>
      </c>
      <c r="M19" s="95">
        <f t="shared" ref="M19" si="11">F27/F20</f>
        <v>5.5766394864677306E-2</v>
      </c>
      <c r="N19" s="95">
        <f>G27/G20</f>
        <v>7.5511432009626955E-2</v>
      </c>
    </row>
    <row r="20" spans="1:14" x14ac:dyDescent="0.25">
      <c r="A20" s="110" t="s">
        <v>166</v>
      </c>
      <c r="B20" s="111">
        <f>B11+B18</f>
        <v>130337</v>
      </c>
      <c r="C20" s="111">
        <f t="shared" ref="C20:G20" si="12">C11+C18</f>
        <v>107833</v>
      </c>
      <c r="D20" s="111">
        <f t="shared" si="12"/>
        <v>105034</v>
      </c>
      <c r="E20" s="111">
        <f t="shared" si="12"/>
        <v>101674</v>
      </c>
      <c r="F20" s="111">
        <f t="shared" si="12"/>
        <v>92224</v>
      </c>
      <c r="G20" s="111">
        <f t="shared" si="12"/>
        <v>93072</v>
      </c>
      <c r="I20" s="27" t="s">
        <v>147</v>
      </c>
      <c r="J20" s="94">
        <f>C27/(C35+C42)</f>
        <v>-6.022153856880158E-2</v>
      </c>
      <c r="K20" s="94">
        <f>D27/(D35+D42)</f>
        <v>3.9025017558784833E-2</v>
      </c>
      <c r="L20" s="94">
        <f>E27/(E35+E42)</f>
        <v>4.7149213149872291E-2</v>
      </c>
      <c r="M20" s="94">
        <f t="shared" ref="M20" si="13">F27/(F35+F42)</f>
        <v>5.905995567345345E-2</v>
      </c>
      <c r="N20" s="94">
        <f>G27/(G35+G42)</f>
        <v>8.1679140904653433E-2</v>
      </c>
    </row>
    <row r="21" spans="1:14" x14ac:dyDescent="0.25">
      <c r="A21" s="98"/>
      <c r="B21" s="99"/>
      <c r="I21" s="27" t="s">
        <v>148</v>
      </c>
      <c r="J21" s="94">
        <f>-C56/C57</f>
        <v>-2.4467571083441739</v>
      </c>
      <c r="K21" s="94">
        <f>-D56/D57</f>
        <v>1.088856366297303</v>
      </c>
      <c r="L21" s="94">
        <f>-E56/E57</f>
        <v>1.4397632311977715</v>
      </c>
      <c r="M21" s="94">
        <f t="shared" ref="M21" si="14">-F56/F57</f>
        <v>2.1074446680080481</v>
      </c>
      <c r="N21" s="94">
        <f>-G56/G57</f>
        <v>2.1773418734987988</v>
      </c>
    </row>
    <row r="22" spans="1:14" x14ac:dyDescent="0.25">
      <c r="A22" s="97" t="s">
        <v>167</v>
      </c>
      <c r="B22" s="93">
        <v>2014</v>
      </c>
      <c r="C22" s="93">
        <v>2015</v>
      </c>
      <c r="D22" s="93">
        <v>2016</v>
      </c>
      <c r="E22" s="93">
        <v>2017</v>
      </c>
      <c r="F22" s="93">
        <v>2018</v>
      </c>
      <c r="G22" s="93">
        <v>2019</v>
      </c>
      <c r="I22" s="27" t="s">
        <v>149</v>
      </c>
      <c r="J22" s="95">
        <f>C27/C11</f>
        <v>-0.124242587698006</v>
      </c>
      <c r="K22" s="95">
        <f>D27/D11</f>
        <v>7.614801088655973E-2</v>
      </c>
      <c r="L22" s="95">
        <f>E27/E11</f>
        <v>9.0854965467968563E-2</v>
      </c>
      <c r="M22" s="95">
        <f t="shared" ref="M22" si="15">F27/F11</f>
        <v>0.10768425460636516</v>
      </c>
      <c r="N22" s="95">
        <f>G27/G11</f>
        <v>0.15012282388123466</v>
      </c>
    </row>
    <row r="23" spans="1:14" x14ac:dyDescent="0.25">
      <c r="A23" s="98" t="s">
        <v>168</v>
      </c>
      <c r="B23" s="99"/>
      <c r="I23" s="27" t="s">
        <v>150</v>
      </c>
      <c r="J23" s="95">
        <f>C35/C11</f>
        <v>0.1210780876350756</v>
      </c>
      <c r="K23" s="95">
        <f>D35/D11</f>
        <v>6.8774489933792732E-2</v>
      </c>
      <c r="L23" s="95">
        <f>E35/E11</f>
        <v>1.1211994919425261</v>
      </c>
      <c r="M23" s="95">
        <f t="shared" ref="M23" si="16">F35/F11</f>
        <v>1.1459589614740369</v>
      </c>
      <c r="N23" s="95">
        <f>G35/G11</f>
        <v>1.1409590943073802</v>
      </c>
    </row>
    <row r="24" spans="1:14" x14ac:dyDescent="0.25">
      <c r="A24" s="101" t="s">
        <v>169</v>
      </c>
      <c r="B24" s="102">
        <v>9181</v>
      </c>
      <c r="C24" s="102">
        <v>9181</v>
      </c>
      <c r="D24" s="102">
        <v>19235</v>
      </c>
      <c r="E24" s="102">
        <v>19235</v>
      </c>
      <c r="F24" s="102">
        <v>19235</v>
      </c>
      <c r="G24" s="102">
        <v>6565</v>
      </c>
    </row>
    <row r="25" spans="1:14" x14ac:dyDescent="0.25">
      <c r="A25" s="101" t="s">
        <v>128</v>
      </c>
      <c r="B25" s="102">
        <v>18671</v>
      </c>
      <c r="C25" s="102">
        <v>18336</v>
      </c>
      <c r="D25" s="102">
        <v>18336</v>
      </c>
      <c r="E25" s="102">
        <v>18336</v>
      </c>
      <c r="F25" s="102">
        <v>18336</v>
      </c>
      <c r="G25" s="102">
        <v>18336</v>
      </c>
      <c r="I25" s="27" t="s">
        <v>151</v>
      </c>
      <c r="J25" s="95">
        <f>C60/C49</f>
        <v>-0.129999546629188</v>
      </c>
      <c r="K25" s="95">
        <f>D60/D49</f>
        <v>7.2080949643701132E-3</v>
      </c>
      <c r="L25" s="95">
        <f>E60/E49</f>
        <v>5.6627673049698237E-3</v>
      </c>
      <c r="M25" s="95">
        <f t="shared" ref="M25" si="17">F60/F49</f>
        <v>1.7532246811098986E-3</v>
      </c>
      <c r="N25" s="95">
        <f>G60/G49</f>
        <v>1.6319600235776433E-2</v>
      </c>
    </row>
    <row r="26" spans="1:14" ht="16.5" thickBot="1" x14ac:dyDescent="0.3">
      <c r="A26" s="101" t="s">
        <v>129</v>
      </c>
      <c r="B26" s="103">
        <v>-20589</v>
      </c>
      <c r="C26" s="103">
        <v>-34427</v>
      </c>
      <c r="D26" s="103">
        <v>-33626</v>
      </c>
      <c r="E26" s="103">
        <v>-32993</v>
      </c>
      <c r="F26" s="103">
        <v>-32428</v>
      </c>
      <c r="G26" s="103">
        <v>-17873</v>
      </c>
      <c r="I26" s="27" t="s">
        <v>145</v>
      </c>
      <c r="J26" s="94">
        <f>C49/C20</f>
        <v>1.0227388647260116</v>
      </c>
      <c r="K26" s="94">
        <f>D49/D20</f>
        <v>1.0434621170287717</v>
      </c>
      <c r="L26" s="94">
        <f>E49/E20</f>
        <v>1.0560025178511714</v>
      </c>
      <c r="M26" s="94">
        <f t="shared" ref="M26" si="18">F49/F20</f>
        <v>1.2122007286606524</v>
      </c>
      <c r="N26" s="94">
        <f>G49/G20</f>
        <v>1.2212802991232594</v>
      </c>
    </row>
    <row r="27" spans="1:14" x14ac:dyDescent="0.25">
      <c r="A27" s="104" t="s">
        <v>125</v>
      </c>
      <c r="B27" s="105">
        <f>SUM(B24:B26)</f>
        <v>7263</v>
      </c>
      <c r="C27" s="105">
        <f t="shared" ref="C27:G27" si="19">SUM(C24:C26)</f>
        <v>-6910</v>
      </c>
      <c r="D27" s="105">
        <f t="shared" si="19"/>
        <v>3945</v>
      </c>
      <c r="E27" s="105">
        <f t="shared" si="19"/>
        <v>4578</v>
      </c>
      <c r="F27" s="105">
        <f t="shared" si="19"/>
        <v>5143</v>
      </c>
      <c r="G27" s="105">
        <f t="shared" si="19"/>
        <v>7028</v>
      </c>
      <c r="I27" s="27" t="s">
        <v>152</v>
      </c>
      <c r="J27" s="94">
        <f>1/J19</f>
        <v>-15.605354558610708</v>
      </c>
      <c r="K27" s="94">
        <f t="shared" ref="K27:N27" si="20">1/K19</f>
        <v>26.624588086185046</v>
      </c>
      <c r="L27" s="94">
        <f t="shared" si="20"/>
        <v>22.209261686325906</v>
      </c>
      <c r="M27" s="94">
        <f t="shared" si="20"/>
        <v>17.931946334824033</v>
      </c>
      <c r="N27" s="94">
        <f t="shared" si="20"/>
        <v>13.243027888446216</v>
      </c>
    </row>
    <row r="28" spans="1:14" x14ac:dyDescent="0.25">
      <c r="A28" s="101"/>
      <c r="B28" s="99"/>
      <c r="C28" s="99"/>
      <c r="D28" s="99"/>
      <c r="E28" s="99"/>
      <c r="F28" s="99"/>
      <c r="G28" s="99"/>
      <c r="I28" s="27" t="s">
        <v>120</v>
      </c>
      <c r="J28" s="95">
        <f>J25*J26*J27</f>
        <v>2.0748191027496379</v>
      </c>
      <c r="K28" s="95">
        <f t="shared" ref="K28:N28" si="21">K25*K26*K27</f>
        <v>0.20025348542458812</v>
      </c>
      <c r="L28" s="95">
        <f t="shared" si="21"/>
        <v>0.1328090869375273</v>
      </c>
      <c r="M28" s="95">
        <f t="shared" si="21"/>
        <v>3.8110052498541713E-2</v>
      </c>
      <c r="N28" s="95">
        <f t="shared" si="21"/>
        <v>0.26394422310756971</v>
      </c>
    </row>
    <row r="29" spans="1:14" x14ac:dyDescent="0.25">
      <c r="A29" s="98" t="s">
        <v>170</v>
      </c>
      <c r="B29" s="99"/>
      <c r="C29" s="99"/>
      <c r="D29" s="99"/>
      <c r="E29" s="99"/>
      <c r="F29" s="99"/>
      <c r="G29" s="99"/>
      <c r="J29" s="95">
        <f>C60/C27</f>
        <v>2.0748191027496383</v>
      </c>
      <c r="K29" s="95">
        <f>D60/D27</f>
        <v>0.2002534854245881</v>
      </c>
      <c r="L29" s="95">
        <f>E60/E27</f>
        <v>0.1328090869375273</v>
      </c>
      <c r="M29" s="95">
        <f t="shared" ref="M29" si="22">F60/F27</f>
        <v>3.8110052498541706E-2</v>
      </c>
      <c r="N29" s="95">
        <f>G60/G27</f>
        <v>0.26394422310756971</v>
      </c>
    </row>
    <row r="30" spans="1:14" x14ac:dyDescent="0.25">
      <c r="A30" s="101" t="s">
        <v>171</v>
      </c>
      <c r="B30" s="102">
        <v>3379</v>
      </c>
      <c r="C30" s="102">
        <v>3139</v>
      </c>
      <c r="D30" s="102">
        <v>2889</v>
      </c>
      <c r="E30" s="102">
        <v>2717</v>
      </c>
      <c r="F30" s="102">
        <v>2218</v>
      </c>
      <c r="G30" s="102">
        <v>2230</v>
      </c>
      <c r="I30" s="27" t="s">
        <v>194</v>
      </c>
      <c r="J30" s="95">
        <f>J25*J26</f>
        <v>-0.13295558873443195</v>
      </c>
      <c r="K30" s="95">
        <f t="shared" ref="K30:N30" si="23">K25*K26</f>
        <v>7.5213740312660669E-3</v>
      </c>
      <c r="L30" s="95">
        <f t="shared" si="23"/>
        <v>5.9798965320534258E-3</v>
      </c>
      <c r="M30" s="95">
        <f t="shared" si="23"/>
        <v>2.125260235947259E-3</v>
      </c>
      <c r="N30" s="95">
        <f t="shared" si="23"/>
        <v>1.9930806257521059E-2</v>
      </c>
    </row>
    <row r="31" spans="1:14" x14ac:dyDescent="0.25">
      <c r="A31" s="101" t="s">
        <v>172</v>
      </c>
      <c r="B31" s="102">
        <v>0</v>
      </c>
      <c r="C31" s="102">
        <v>0</v>
      </c>
      <c r="D31" s="102">
        <v>0</v>
      </c>
      <c r="E31" s="102">
        <v>53251</v>
      </c>
      <c r="F31" s="102">
        <v>51621</v>
      </c>
      <c r="G31" s="102">
        <f>49447+459</f>
        <v>49906</v>
      </c>
      <c r="J31" s="95">
        <f>C60/C20</f>
        <v>-0.13295558873443195</v>
      </c>
      <c r="K31" s="95">
        <f t="shared" ref="K31:N31" si="24">D60/D20</f>
        <v>7.5213740312660661E-3</v>
      </c>
      <c r="L31" s="95">
        <f t="shared" si="24"/>
        <v>5.9798965320534258E-3</v>
      </c>
      <c r="M31" s="95">
        <f t="shared" si="24"/>
        <v>2.125260235947259E-3</v>
      </c>
      <c r="N31" s="95">
        <f t="shared" si="24"/>
        <v>1.9930806257521059E-2</v>
      </c>
    </row>
    <row r="32" spans="1:14" x14ac:dyDescent="0.25">
      <c r="A32" s="101" t="s">
        <v>126</v>
      </c>
      <c r="B32" s="102">
        <v>1014</v>
      </c>
      <c r="C32" s="102">
        <v>830</v>
      </c>
      <c r="D32" s="102">
        <v>674</v>
      </c>
      <c r="E32" s="102">
        <v>527</v>
      </c>
      <c r="F32" s="102">
        <v>381</v>
      </c>
      <c r="G32" s="102">
        <v>241</v>
      </c>
    </row>
    <row r="33" spans="1:7" x14ac:dyDescent="0.25">
      <c r="A33" s="101" t="s">
        <v>173</v>
      </c>
      <c r="B33" s="102">
        <v>2911</v>
      </c>
      <c r="C33" s="102">
        <v>0</v>
      </c>
      <c r="D33" s="102">
        <v>0</v>
      </c>
      <c r="E33" s="102">
        <v>0</v>
      </c>
      <c r="F33" s="102">
        <v>511</v>
      </c>
      <c r="G33" s="102">
        <v>1037</v>
      </c>
    </row>
    <row r="34" spans="1:7" ht="16.5" thickBot="1" x14ac:dyDescent="0.3">
      <c r="A34" s="101" t="s">
        <v>174</v>
      </c>
      <c r="B34" s="103">
        <v>920</v>
      </c>
      <c r="C34" s="103">
        <v>2765</v>
      </c>
      <c r="D34" s="103">
        <v>0</v>
      </c>
      <c r="E34" s="103">
        <v>0</v>
      </c>
      <c r="F34" s="103">
        <v>0</v>
      </c>
      <c r="G34" s="103">
        <v>0</v>
      </c>
    </row>
    <row r="35" spans="1:7" x14ac:dyDescent="0.25">
      <c r="A35" s="104" t="s">
        <v>175</v>
      </c>
      <c r="B35" s="105">
        <f>SUM(B30:B34)</f>
        <v>8224</v>
      </c>
      <c r="C35" s="105">
        <f t="shared" ref="C35:G35" si="25">SUM(C30:C34)</f>
        <v>6734</v>
      </c>
      <c r="D35" s="105">
        <f t="shared" si="25"/>
        <v>3563</v>
      </c>
      <c r="E35" s="105">
        <f t="shared" si="25"/>
        <v>56495</v>
      </c>
      <c r="F35" s="105">
        <f t="shared" si="25"/>
        <v>54731</v>
      </c>
      <c r="G35" s="105">
        <f t="shared" si="25"/>
        <v>53414</v>
      </c>
    </row>
    <row r="36" spans="1:7" x14ac:dyDescent="0.25">
      <c r="A36" s="112"/>
      <c r="B36" s="113"/>
      <c r="C36" s="113"/>
      <c r="D36" s="113"/>
      <c r="E36" s="113"/>
      <c r="F36" s="113"/>
      <c r="G36" s="113"/>
    </row>
    <row r="37" spans="1:7" x14ac:dyDescent="0.25">
      <c r="A37" s="98" t="s">
        <v>176</v>
      </c>
      <c r="B37" s="99"/>
      <c r="C37" s="99"/>
      <c r="D37" s="99"/>
      <c r="E37" s="99"/>
      <c r="F37" s="99"/>
      <c r="G37" s="99"/>
    </row>
    <row r="38" spans="1:7" x14ac:dyDescent="0.25">
      <c r="A38" s="101" t="s">
        <v>130</v>
      </c>
      <c r="B38" s="102">
        <v>47316</v>
      </c>
      <c r="C38" s="102">
        <v>38496</v>
      </c>
      <c r="D38" s="102">
        <v>33911</v>
      </c>
      <c r="E38" s="102">
        <v>30468</v>
      </c>
      <c r="F38" s="102">
        <v>24679</v>
      </c>
      <c r="G38" s="102">
        <v>25433</v>
      </c>
    </row>
    <row r="39" spans="1:7" x14ac:dyDescent="0.25">
      <c r="A39" s="101" t="s">
        <v>177</v>
      </c>
      <c r="B39" s="102">
        <v>0</v>
      </c>
      <c r="C39" s="102">
        <v>0</v>
      </c>
      <c r="D39" s="102">
        <v>0</v>
      </c>
      <c r="E39" s="102">
        <v>1087</v>
      </c>
      <c r="F39" s="102">
        <v>1630</v>
      </c>
      <c r="G39" s="102">
        <v>2174</v>
      </c>
    </row>
    <row r="40" spans="1:7" x14ac:dyDescent="0.25">
      <c r="A40" s="101" t="s">
        <v>178</v>
      </c>
      <c r="B40" s="102">
        <v>67534</v>
      </c>
      <c r="C40" s="102">
        <v>69513</v>
      </c>
      <c r="D40" s="102">
        <v>63615</v>
      </c>
      <c r="E40" s="102">
        <v>9046</v>
      </c>
      <c r="F40" s="102">
        <v>6041</v>
      </c>
      <c r="G40" s="102">
        <f>4266+227</f>
        <v>4493</v>
      </c>
    </row>
    <row r="41" spans="1:7" ht="16.5" thickBot="1" x14ac:dyDescent="0.3">
      <c r="A41" s="101" t="s">
        <v>127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530</v>
      </c>
    </row>
    <row r="42" spans="1:7" x14ac:dyDescent="0.25">
      <c r="A42" s="98" t="s">
        <v>179</v>
      </c>
      <c r="B42" s="109">
        <f>SUM(B38:B41)</f>
        <v>114850</v>
      </c>
      <c r="C42" s="109">
        <f t="shared" ref="C42:G42" si="26">SUM(C38:C41)</f>
        <v>108009</v>
      </c>
      <c r="D42" s="109">
        <f t="shared" si="26"/>
        <v>97526</v>
      </c>
      <c r="E42" s="109">
        <f t="shared" si="26"/>
        <v>40601</v>
      </c>
      <c r="F42" s="109">
        <f t="shared" si="26"/>
        <v>32350</v>
      </c>
      <c r="G42" s="109">
        <f t="shared" si="26"/>
        <v>32630</v>
      </c>
    </row>
    <row r="43" spans="1:7" x14ac:dyDescent="0.25">
      <c r="A43" s="112"/>
      <c r="B43" s="114"/>
      <c r="C43" s="114"/>
      <c r="D43" s="114"/>
      <c r="E43" s="114"/>
      <c r="F43" s="114"/>
      <c r="G43" s="114"/>
    </row>
    <row r="44" spans="1:7" x14ac:dyDescent="0.25">
      <c r="A44" s="110" t="s">
        <v>180</v>
      </c>
      <c r="B44" s="111">
        <f>B27+B35+B42</f>
        <v>130337</v>
      </c>
      <c r="C44" s="111">
        <f t="shared" ref="C44:G44" si="27">C27+C35+C42</f>
        <v>107833</v>
      </c>
      <c r="D44" s="111">
        <f t="shared" si="27"/>
        <v>105034</v>
      </c>
      <c r="E44" s="111">
        <f t="shared" si="27"/>
        <v>101674</v>
      </c>
      <c r="F44" s="111">
        <f t="shared" si="27"/>
        <v>92224</v>
      </c>
      <c r="G44" s="111">
        <f t="shared" si="27"/>
        <v>93072</v>
      </c>
    </row>
    <row r="45" spans="1:7" x14ac:dyDescent="0.25">
      <c r="B45" s="100">
        <f>B20-B44</f>
        <v>0</v>
      </c>
      <c r="C45" s="100">
        <f t="shared" ref="C45:G45" si="28">C20-C44</f>
        <v>0</v>
      </c>
      <c r="D45" s="100">
        <f t="shared" si="28"/>
        <v>0</v>
      </c>
      <c r="E45" s="100">
        <f t="shared" si="28"/>
        <v>0</v>
      </c>
      <c r="F45" s="100">
        <f t="shared" si="28"/>
        <v>0</v>
      </c>
      <c r="G45" s="100">
        <f t="shared" si="28"/>
        <v>0</v>
      </c>
    </row>
    <row r="48" spans="1:7" x14ac:dyDescent="0.25">
      <c r="A48" s="115" t="s">
        <v>181</v>
      </c>
      <c r="B48" s="93">
        <v>2014</v>
      </c>
      <c r="C48" s="93">
        <v>2015</v>
      </c>
      <c r="D48" s="93">
        <v>2016</v>
      </c>
      <c r="E48" s="93">
        <v>2017</v>
      </c>
      <c r="F48" s="93">
        <v>2018</v>
      </c>
      <c r="G48" s="93">
        <v>2019</v>
      </c>
    </row>
    <row r="49" spans="1:7" x14ac:dyDescent="0.25">
      <c r="A49" s="116" t="s">
        <v>182</v>
      </c>
      <c r="B49" s="117">
        <v>125704</v>
      </c>
      <c r="C49" s="117">
        <v>110285</v>
      </c>
      <c r="D49" s="117">
        <v>109599</v>
      </c>
      <c r="E49" s="117">
        <v>107368</v>
      </c>
      <c r="F49" s="117">
        <v>111794</v>
      </c>
      <c r="G49" s="117">
        <v>113667</v>
      </c>
    </row>
    <row r="50" spans="1:7" ht="16.5" thickBot="1" x14ac:dyDescent="0.3">
      <c r="A50" s="116" t="s">
        <v>183</v>
      </c>
      <c r="B50" s="103">
        <v>-98401</v>
      </c>
      <c r="C50" s="103">
        <v>-83042</v>
      </c>
      <c r="D50" s="103">
        <v>-77646</v>
      </c>
      <c r="E50" s="103">
        <v>-79436</v>
      </c>
      <c r="F50" s="103">
        <v>-81768</v>
      </c>
      <c r="G50" s="103">
        <v>-83969</v>
      </c>
    </row>
    <row r="51" spans="1:7" x14ac:dyDescent="0.25">
      <c r="A51" s="104" t="s">
        <v>184</v>
      </c>
      <c r="B51" s="105">
        <f>SUM(B49:B50)</f>
        <v>27303</v>
      </c>
      <c r="C51" s="105">
        <f t="shared" ref="C51:G51" si="29">SUM(C49:C50)</f>
        <v>27243</v>
      </c>
      <c r="D51" s="105">
        <f t="shared" si="29"/>
        <v>31953</v>
      </c>
      <c r="E51" s="105">
        <f t="shared" si="29"/>
        <v>27932</v>
      </c>
      <c r="F51" s="105">
        <f t="shared" si="29"/>
        <v>30026</v>
      </c>
      <c r="G51" s="105">
        <f t="shared" si="29"/>
        <v>29698</v>
      </c>
    </row>
    <row r="52" spans="1:7" x14ac:dyDescent="0.25">
      <c r="A52" s="116" t="s">
        <v>185</v>
      </c>
      <c r="B52" s="117">
        <v>0</v>
      </c>
      <c r="C52" s="117">
        <v>0</v>
      </c>
      <c r="D52" s="117">
        <v>0</v>
      </c>
      <c r="E52" s="117">
        <v>269</v>
      </c>
      <c r="F52" s="117">
        <v>0</v>
      </c>
      <c r="G52" s="117">
        <v>0</v>
      </c>
    </row>
    <row r="53" spans="1:7" x14ac:dyDescent="0.25">
      <c r="A53" s="116" t="s">
        <v>186</v>
      </c>
      <c r="B53" s="117">
        <v>-28315</v>
      </c>
      <c r="C53" s="117">
        <v>-24368</v>
      </c>
      <c r="D53" s="117">
        <v>-23647</v>
      </c>
      <c r="E53" s="117">
        <v>-24066</v>
      </c>
      <c r="F53" s="117">
        <v>-24156</v>
      </c>
      <c r="G53" s="117">
        <v>-24094</v>
      </c>
    </row>
    <row r="54" spans="1:7" x14ac:dyDescent="0.25">
      <c r="A54" s="116" t="s">
        <v>187</v>
      </c>
      <c r="B54" s="117">
        <v>-1333</v>
      </c>
      <c r="C54" s="117">
        <v>-16041</v>
      </c>
      <c r="D54" s="117">
        <v>-3098</v>
      </c>
      <c r="E54" s="117">
        <v>0</v>
      </c>
      <c r="F54" s="117">
        <v>-633</v>
      </c>
      <c r="G54" s="117">
        <v>-165</v>
      </c>
    </row>
    <row r="55" spans="1:7" ht="16.5" thickBot="1" x14ac:dyDescent="0.3">
      <c r="A55" s="116" t="s">
        <v>188</v>
      </c>
      <c r="B55" s="103">
        <v>0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</row>
    <row r="56" spans="1:7" x14ac:dyDescent="0.25">
      <c r="A56" s="104" t="s">
        <v>189</v>
      </c>
      <c r="B56" s="105">
        <f>SUM(B51:B55)</f>
        <v>-2345</v>
      </c>
      <c r="C56" s="105">
        <f t="shared" ref="C56:G56" si="30">SUM(C51:C55)</f>
        <v>-13166</v>
      </c>
      <c r="D56" s="105">
        <f t="shared" si="30"/>
        <v>5208</v>
      </c>
      <c r="E56" s="105">
        <f t="shared" si="30"/>
        <v>4135</v>
      </c>
      <c r="F56" s="105">
        <f t="shared" si="30"/>
        <v>5237</v>
      </c>
      <c r="G56" s="105">
        <f t="shared" si="30"/>
        <v>5439</v>
      </c>
    </row>
    <row r="57" spans="1:7" ht="16.5" thickBot="1" x14ac:dyDescent="0.3">
      <c r="A57" s="116" t="s">
        <v>190</v>
      </c>
      <c r="B57" s="103">
        <v>-5116</v>
      </c>
      <c r="C57" s="103">
        <v>-5381</v>
      </c>
      <c r="D57" s="103">
        <v>-4783</v>
      </c>
      <c r="E57" s="103">
        <v>-2872</v>
      </c>
      <c r="F57" s="103">
        <v>-2485</v>
      </c>
      <c r="G57" s="103">
        <v>-2498</v>
      </c>
    </row>
    <row r="58" spans="1:7" x14ac:dyDescent="0.25">
      <c r="A58" s="104" t="s">
        <v>191</v>
      </c>
      <c r="B58" s="105">
        <f>SUM(B56:B57)</f>
        <v>-7461</v>
      </c>
      <c r="C58" s="105">
        <f t="shared" ref="C58:G58" si="31">SUM(C56:C57)</f>
        <v>-18547</v>
      </c>
      <c r="D58" s="105">
        <f t="shared" si="31"/>
        <v>425</v>
      </c>
      <c r="E58" s="105">
        <f t="shared" si="31"/>
        <v>1263</v>
      </c>
      <c r="F58" s="105">
        <f t="shared" si="31"/>
        <v>2752</v>
      </c>
      <c r="G58" s="105">
        <f t="shared" si="31"/>
        <v>2941</v>
      </c>
    </row>
    <row r="59" spans="1:7" ht="16.5" thickBot="1" x14ac:dyDescent="0.3">
      <c r="A59" s="27" t="s">
        <v>131</v>
      </c>
      <c r="B59" s="103">
        <v>1369</v>
      </c>
      <c r="C59" s="103">
        <v>4210</v>
      </c>
      <c r="D59" s="103">
        <v>365</v>
      </c>
      <c r="E59" s="103">
        <v>-655</v>
      </c>
      <c r="F59" s="103">
        <v>-2556</v>
      </c>
      <c r="G59" s="103">
        <v>-1086</v>
      </c>
    </row>
    <row r="60" spans="1:7" x14ac:dyDescent="0.25">
      <c r="A60" s="110" t="s">
        <v>192</v>
      </c>
      <c r="B60" s="111">
        <f>SUM(B58:B59)</f>
        <v>-6092</v>
      </c>
      <c r="C60" s="111">
        <f t="shared" ref="C60:G60" si="32">SUM(C58:C59)</f>
        <v>-14337</v>
      </c>
      <c r="D60" s="111">
        <f t="shared" si="32"/>
        <v>790</v>
      </c>
      <c r="E60" s="111">
        <f t="shared" si="32"/>
        <v>608</v>
      </c>
      <c r="F60" s="111">
        <f t="shared" si="32"/>
        <v>196</v>
      </c>
      <c r="G60" s="111">
        <f t="shared" si="32"/>
        <v>1855</v>
      </c>
    </row>
    <row r="62" spans="1:7" x14ac:dyDescent="0.25">
      <c r="A62" s="27" t="s">
        <v>193</v>
      </c>
      <c r="C62" s="100">
        <f>-C50+C14-B14</f>
        <v>83048</v>
      </c>
      <c r="D62" s="100">
        <f t="shared" ref="D62:G62" si="33">-D50+D14-C14</f>
        <v>77758</v>
      </c>
      <c r="E62" s="100">
        <f t="shared" si="33"/>
        <v>81156</v>
      </c>
      <c r="F62" s="100">
        <f>-F50+F14-E14</f>
        <v>80924</v>
      </c>
      <c r="G62" s="100">
        <f t="shared" si="33"/>
        <v>82892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ΘΕΜΑ1 ΙΣΟΖΥΓΙΟ</vt:lpstr>
      <vt:lpstr>ΘΕΜΑ1 ΑΠΟΤΕΛΕΣΜΑΤΑ</vt:lpstr>
      <vt:lpstr>ΘΕΜΑ1 ΙΣΟΛΟΓΙΣΜΟΣ</vt:lpstr>
      <vt:lpstr>ΘΕΜΑ2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DIONISIA KOSMETATOU</dc:creator>
  <cp:keywords/>
  <dc:description/>
  <cp:lastModifiedBy>user</cp:lastModifiedBy>
  <dcterms:created xsi:type="dcterms:W3CDTF">2014-12-27T13:56:02Z</dcterms:created>
  <dcterms:modified xsi:type="dcterms:W3CDTF">2021-11-20T16:12:16Z</dcterms:modified>
  <cp:category/>
</cp:coreProperties>
</file>