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ELIAS\ELIAS TUTORING\EAP-TUTORS\MBA 51\2021 - 2022\Project 1\"/>
    </mc:Choice>
  </mc:AlternateContent>
  <xr:revisionPtr revIDLastSave="0" documentId="13_ncr:1_{087CCBBA-E4BA-4084-AF89-BAC95DBD211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Subject 1" sheetId="22" r:id="rId1"/>
    <sheet name="Subject 2 - Adjustments" sheetId="26" r:id="rId2"/>
    <sheet name="Subject 2 - Closing entries" sheetId="27" r:id="rId3"/>
    <sheet name="Subject 3" sheetId="23" r:id="rId4"/>
    <sheet name="Subject 4 high NRV" sheetId="24" r:id="rId5"/>
    <sheet name="Subject 4 low NRV" sheetId="25" r:id="rId6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23" l="1"/>
  <c r="D22" i="23"/>
  <c r="F2" i="23"/>
  <c r="J2" i="23"/>
  <c r="C13" i="23"/>
  <c r="D14" i="23"/>
  <c r="I2" i="23"/>
  <c r="C5" i="23"/>
  <c r="D6" i="23"/>
  <c r="J19" i="27"/>
  <c r="M12" i="22"/>
  <c r="R3" i="22"/>
  <c r="R4" i="22"/>
  <c r="R5" i="22"/>
  <c r="R6" i="22"/>
  <c r="R7" i="22"/>
  <c r="R8" i="22"/>
  <c r="R9" i="22"/>
  <c r="R10" i="22"/>
  <c r="R11" i="22"/>
  <c r="R12" i="22"/>
  <c r="R13" i="22"/>
  <c r="R14" i="22"/>
  <c r="L26" i="22"/>
  <c r="M26" i="22"/>
  <c r="AO6" i="24"/>
  <c r="AO7" i="24"/>
  <c r="AO5" i="24"/>
  <c r="AO4" i="24"/>
  <c r="AO3" i="24"/>
  <c r="AN4" i="24"/>
  <c r="AM4" i="24"/>
  <c r="AL4" i="24"/>
  <c r="AM6" i="24"/>
  <c r="AL6" i="24"/>
  <c r="AN6" i="24"/>
  <c r="AN7" i="24"/>
  <c r="AN5" i="24"/>
  <c r="AN3" i="24"/>
  <c r="AM7" i="24"/>
  <c r="AM5" i="24"/>
  <c r="AM3" i="24"/>
  <c r="AL7" i="24"/>
  <c r="AL5" i="24"/>
  <c r="AL3" i="24"/>
  <c r="T36" i="27"/>
  <c r="N88" i="27"/>
  <c r="N87" i="27"/>
  <c r="T80" i="27"/>
  <c r="O48" i="27"/>
  <c r="S79" i="27"/>
  <c r="N86" i="27"/>
  <c r="O79" i="27"/>
  <c r="T73" i="27"/>
  <c r="O73" i="27"/>
  <c r="T67" i="27"/>
  <c r="O67" i="27"/>
  <c r="T61" i="27"/>
  <c r="O85" i="27"/>
  <c r="C21" i="27"/>
  <c r="J6" i="27"/>
  <c r="N61" i="27"/>
  <c r="C20" i="27"/>
  <c r="J5" i="27"/>
  <c r="S55" i="27"/>
  <c r="C19" i="27"/>
  <c r="J4" i="27"/>
  <c r="N55" i="27"/>
  <c r="C29" i="27"/>
  <c r="O84" i="27"/>
  <c r="M83" i="27"/>
  <c r="B28" i="27"/>
  <c r="S78" i="27"/>
  <c r="R77" i="27"/>
  <c r="O88" i="27"/>
  <c r="S81" i="27"/>
  <c r="M46" i="27"/>
  <c r="C22" i="27"/>
  <c r="O47" i="27"/>
  <c r="O50" i="27"/>
  <c r="B29" i="27"/>
  <c r="B22" i="27"/>
  <c r="K11" i="27"/>
  <c r="B23" i="27"/>
  <c r="K12" i="27"/>
  <c r="B24" i="27"/>
  <c r="K13" i="27"/>
  <c r="B25" i="27"/>
  <c r="K14" i="27"/>
  <c r="B26" i="27"/>
  <c r="K15" i="27"/>
  <c r="B27" i="27"/>
  <c r="K16" i="27"/>
  <c r="J10" i="27"/>
  <c r="K7" i="27"/>
  <c r="K24" i="27"/>
  <c r="J23" i="27"/>
  <c r="J27" i="27"/>
  <c r="D29" i="27"/>
  <c r="E29" i="27"/>
  <c r="F29" i="27"/>
  <c r="G29" i="27"/>
  <c r="F29" i="26"/>
  <c r="G29" i="26"/>
  <c r="F28" i="26"/>
  <c r="G28" i="26"/>
  <c r="C28" i="27"/>
  <c r="D28" i="27"/>
  <c r="E28" i="27"/>
  <c r="F28" i="27"/>
  <c r="G28" i="27"/>
  <c r="K28" i="27"/>
  <c r="C18" i="27"/>
  <c r="D18" i="27"/>
  <c r="K20" i="27"/>
  <c r="E18" i="27"/>
  <c r="B18" i="27"/>
  <c r="F18" i="27"/>
  <c r="G18" i="27"/>
  <c r="D18" i="26"/>
  <c r="E18" i="26"/>
  <c r="F18" i="26"/>
  <c r="G18" i="26"/>
  <c r="D19" i="26"/>
  <c r="E19" i="26"/>
  <c r="F19" i="26"/>
  <c r="G19" i="26"/>
  <c r="D29" i="26"/>
  <c r="E29" i="26"/>
  <c r="D28" i="26"/>
  <c r="E28" i="26"/>
  <c r="J16" i="26"/>
  <c r="J21" i="26"/>
  <c r="D27" i="26"/>
  <c r="E27" i="26"/>
  <c r="G27" i="26"/>
  <c r="C27" i="27"/>
  <c r="F27" i="26"/>
  <c r="D26" i="26"/>
  <c r="E26" i="26"/>
  <c r="G26" i="26"/>
  <c r="C26" i="27"/>
  <c r="F26" i="26"/>
  <c r="J4" i="26"/>
  <c r="J8" i="26"/>
  <c r="D25" i="26"/>
  <c r="E25" i="26"/>
  <c r="G25" i="26"/>
  <c r="C25" i="27"/>
  <c r="F25" i="26"/>
  <c r="D24" i="26"/>
  <c r="E24" i="26"/>
  <c r="G24" i="26"/>
  <c r="C24" i="27"/>
  <c r="F24" i="26"/>
  <c r="D23" i="26"/>
  <c r="E23" i="26"/>
  <c r="G23" i="26"/>
  <c r="C23" i="27"/>
  <c r="F23" i="26"/>
  <c r="D22" i="26"/>
  <c r="E22" i="26"/>
  <c r="G22" i="26"/>
  <c r="F22" i="26"/>
  <c r="D21" i="26"/>
  <c r="E21" i="26"/>
  <c r="G21" i="26"/>
  <c r="F21" i="26"/>
  <c r="B21" i="27"/>
  <c r="D20" i="26"/>
  <c r="K17" i="26"/>
  <c r="E20" i="26"/>
  <c r="G20" i="26"/>
  <c r="F20" i="26"/>
  <c r="B20" i="27"/>
  <c r="B19" i="27"/>
  <c r="D17" i="26"/>
  <c r="K28" i="26"/>
  <c r="E17" i="26"/>
  <c r="G17" i="26"/>
  <c r="C17" i="27"/>
  <c r="F17" i="26"/>
  <c r="B17" i="27"/>
  <c r="D16" i="26"/>
  <c r="K32" i="26"/>
  <c r="E16" i="26"/>
  <c r="G16" i="26"/>
  <c r="C16" i="27"/>
  <c r="F16" i="26"/>
  <c r="B16" i="27"/>
  <c r="D15" i="26"/>
  <c r="E15" i="26"/>
  <c r="G15" i="26"/>
  <c r="C15" i="27"/>
  <c r="F15" i="26"/>
  <c r="B15" i="27"/>
  <c r="D14" i="26"/>
  <c r="E14" i="26"/>
  <c r="G14" i="26"/>
  <c r="C14" i="27"/>
  <c r="F14" i="26"/>
  <c r="B14" i="27"/>
  <c r="D13" i="26"/>
  <c r="K9" i="26"/>
  <c r="E13" i="26"/>
  <c r="G13" i="26"/>
  <c r="C13" i="27"/>
  <c r="F13" i="26"/>
  <c r="B13" i="27"/>
  <c r="D12" i="26"/>
  <c r="E12" i="26"/>
  <c r="G12" i="26"/>
  <c r="C12" i="27"/>
  <c r="F12" i="26"/>
  <c r="B12" i="27"/>
  <c r="D11" i="26"/>
  <c r="K5" i="26"/>
  <c r="E11" i="26"/>
  <c r="G11" i="26"/>
  <c r="C11" i="27"/>
  <c r="F11" i="26"/>
  <c r="B11" i="27"/>
  <c r="D10" i="26"/>
  <c r="E10" i="26"/>
  <c r="G10" i="26"/>
  <c r="C10" i="27"/>
  <c r="F10" i="26"/>
  <c r="B10" i="27"/>
  <c r="D9" i="26"/>
  <c r="E9" i="26"/>
  <c r="G9" i="26"/>
  <c r="C9" i="27"/>
  <c r="F9" i="26"/>
  <c r="B9" i="27"/>
  <c r="D8" i="26"/>
  <c r="K13" i="26"/>
  <c r="E8" i="26"/>
  <c r="G8" i="26"/>
  <c r="C8" i="27"/>
  <c r="F8" i="26"/>
  <c r="B8" i="27"/>
  <c r="D7" i="26"/>
  <c r="K22" i="26"/>
  <c r="E7" i="26"/>
  <c r="G7" i="26"/>
  <c r="C7" i="27"/>
  <c r="F7" i="26"/>
  <c r="B7" i="27"/>
  <c r="D6" i="26"/>
  <c r="E6" i="26"/>
  <c r="G6" i="26"/>
  <c r="C6" i="27"/>
  <c r="F6" i="26"/>
  <c r="B6" i="27"/>
  <c r="D5" i="26"/>
  <c r="E5" i="26"/>
  <c r="G5" i="26"/>
  <c r="C5" i="27"/>
  <c r="F5" i="26"/>
  <c r="B5" i="27"/>
  <c r="N78" i="27"/>
  <c r="N81" i="27"/>
  <c r="M77" i="27"/>
  <c r="S72" i="27"/>
  <c r="S75" i="27"/>
  <c r="N72" i="27"/>
  <c r="N75" i="27"/>
  <c r="R71" i="27"/>
  <c r="M71" i="27"/>
  <c r="S66" i="27"/>
  <c r="S69" i="27"/>
  <c r="N66" i="27"/>
  <c r="N69" i="27"/>
  <c r="R65" i="27"/>
  <c r="M65" i="27"/>
  <c r="S60" i="27"/>
  <c r="S63" i="27"/>
  <c r="O60" i="27"/>
  <c r="O63" i="27"/>
  <c r="R59" i="27"/>
  <c r="M59" i="27"/>
  <c r="T54" i="27"/>
  <c r="T57" i="27"/>
  <c r="O54" i="27"/>
  <c r="O57" i="27"/>
  <c r="R53" i="27"/>
  <c r="M53" i="27"/>
  <c r="T41" i="27"/>
  <c r="T44" i="27"/>
  <c r="O41" i="27"/>
  <c r="O44" i="27"/>
  <c r="R40" i="27"/>
  <c r="M40" i="27"/>
  <c r="T35" i="27"/>
  <c r="T38" i="27"/>
  <c r="O35" i="27"/>
  <c r="O38" i="27"/>
  <c r="R34" i="27"/>
  <c r="M34" i="27"/>
  <c r="K30" i="27"/>
  <c r="J30" i="27"/>
  <c r="T28" i="27"/>
  <c r="T31" i="27"/>
  <c r="D5" i="27"/>
  <c r="E5" i="27"/>
  <c r="G5" i="27"/>
  <c r="D6" i="27"/>
  <c r="E6" i="27"/>
  <c r="G6" i="27"/>
  <c r="D7" i="27"/>
  <c r="E7" i="27"/>
  <c r="G7" i="27"/>
  <c r="D8" i="27"/>
  <c r="E8" i="27"/>
  <c r="G8" i="27"/>
  <c r="D9" i="27"/>
  <c r="E9" i="27"/>
  <c r="G9" i="27"/>
  <c r="D10" i="27"/>
  <c r="E10" i="27"/>
  <c r="G10" i="27"/>
  <c r="D11" i="27"/>
  <c r="E11" i="27"/>
  <c r="G11" i="27"/>
  <c r="D12" i="27"/>
  <c r="E12" i="27"/>
  <c r="G12" i="27"/>
  <c r="D13" i="27"/>
  <c r="E13" i="27"/>
  <c r="G13" i="27"/>
  <c r="D14" i="27"/>
  <c r="E14" i="27"/>
  <c r="G14" i="27"/>
  <c r="D15" i="27"/>
  <c r="E15" i="27"/>
  <c r="G15" i="27"/>
  <c r="D16" i="27"/>
  <c r="E16" i="27"/>
  <c r="G16" i="27"/>
  <c r="D17" i="27"/>
  <c r="E17" i="27"/>
  <c r="G17" i="27"/>
  <c r="D19" i="27"/>
  <c r="E19" i="27"/>
  <c r="G19" i="27"/>
  <c r="D20" i="27"/>
  <c r="E20" i="27"/>
  <c r="G20" i="27"/>
  <c r="D21" i="27"/>
  <c r="E21" i="27"/>
  <c r="G21" i="27"/>
  <c r="D22" i="27"/>
  <c r="E22" i="27"/>
  <c r="G22" i="27"/>
  <c r="D23" i="27"/>
  <c r="E23" i="27"/>
  <c r="G23" i="27"/>
  <c r="D24" i="27"/>
  <c r="E24" i="27"/>
  <c r="G24" i="27"/>
  <c r="D25" i="27"/>
  <c r="E25" i="27"/>
  <c r="G25" i="27"/>
  <c r="D26" i="27"/>
  <c r="E26" i="27"/>
  <c r="G26" i="27"/>
  <c r="D27" i="27"/>
  <c r="E27" i="27"/>
  <c r="G27" i="27"/>
  <c r="G30" i="27"/>
  <c r="F5" i="27"/>
  <c r="F6" i="27"/>
  <c r="F7" i="27"/>
  <c r="F8" i="27"/>
  <c r="F9" i="27"/>
  <c r="F10" i="27"/>
  <c r="F11" i="27"/>
  <c r="F12" i="27"/>
  <c r="F13" i="27"/>
  <c r="F14" i="27"/>
  <c r="F15" i="27"/>
  <c r="F16" i="27"/>
  <c r="F17" i="27"/>
  <c r="F19" i="27"/>
  <c r="F20" i="27"/>
  <c r="F21" i="27"/>
  <c r="F22" i="27"/>
  <c r="F23" i="27"/>
  <c r="F24" i="27"/>
  <c r="F25" i="27"/>
  <c r="F26" i="27"/>
  <c r="F27" i="27"/>
  <c r="F30" i="27"/>
  <c r="E30" i="27"/>
  <c r="D30" i="27"/>
  <c r="C30" i="27"/>
  <c r="B30" i="27"/>
  <c r="N22" i="27"/>
  <c r="N28" i="27"/>
  <c r="R27" i="27"/>
  <c r="S22" i="27"/>
  <c r="S25" i="27"/>
  <c r="R21" i="27"/>
  <c r="M21" i="27"/>
  <c r="S16" i="27"/>
  <c r="S19" i="27"/>
  <c r="O16" i="27"/>
  <c r="O19" i="27"/>
  <c r="R15" i="27"/>
  <c r="M15" i="27"/>
  <c r="T10" i="27"/>
  <c r="T13" i="27"/>
  <c r="N10" i="27"/>
  <c r="N13" i="27"/>
  <c r="R9" i="27"/>
  <c r="M9" i="27"/>
  <c r="S4" i="27"/>
  <c r="S7" i="27"/>
  <c r="N4" i="27"/>
  <c r="N7" i="27"/>
  <c r="R3" i="27"/>
  <c r="M3" i="27"/>
  <c r="T10" i="26"/>
  <c r="T11" i="26"/>
  <c r="T13" i="26"/>
  <c r="T28" i="26"/>
  <c r="T29" i="26"/>
  <c r="T31" i="26"/>
  <c r="O42" i="26"/>
  <c r="N49" i="26"/>
  <c r="N61" i="26"/>
  <c r="T42" i="26"/>
  <c r="N73" i="26"/>
  <c r="T49" i="26"/>
  <c r="S23" i="26"/>
  <c r="S67" i="26"/>
  <c r="T17" i="26"/>
  <c r="O17" i="26"/>
  <c r="N68" i="26"/>
  <c r="N67" i="26"/>
  <c r="N72" i="26"/>
  <c r="S66" i="26"/>
  <c r="N66" i="26"/>
  <c r="S60" i="26"/>
  <c r="N60" i="26"/>
  <c r="S54" i="26"/>
  <c r="O54" i="26"/>
  <c r="T48" i="26"/>
  <c r="O48" i="26"/>
  <c r="M71" i="26"/>
  <c r="R65" i="26"/>
  <c r="M65" i="26"/>
  <c r="R59" i="26"/>
  <c r="M59" i="26"/>
  <c r="R53" i="26"/>
  <c r="M53" i="26"/>
  <c r="R47" i="26"/>
  <c r="M47" i="26"/>
  <c r="N75" i="26"/>
  <c r="S69" i="26"/>
  <c r="N69" i="26"/>
  <c r="S63" i="26"/>
  <c r="N63" i="26"/>
  <c r="O57" i="26"/>
  <c r="T51" i="26"/>
  <c r="S57" i="26"/>
  <c r="O41" i="26"/>
  <c r="T41" i="26"/>
  <c r="T35" i="26"/>
  <c r="O35" i="26"/>
  <c r="R40" i="26"/>
  <c r="M40" i="26"/>
  <c r="R34" i="26"/>
  <c r="M34" i="26"/>
  <c r="N22" i="26"/>
  <c r="S22" i="26"/>
  <c r="S16" i="26"/>
  <c r="O16" i="26"/>
  <c r="N10" i="26"/>
  <c r="S4" i="26"/>
  <c r="O19" i="26"/>
  <c r="M21" i="26"/>
  <c r="R27" i="26"/>
  <c r="R21" i="26"/>
  <c r="R15" i="26"/>
  <c r="M15" i="26"/>
  <c r="M9" i="26"/>
  <c r="R9" i="26"/>
  <c r="R3" i="26"/>
  <c r="M3" i="26"/>
  <c r="N4" i="26"/>
  <c r="O51" i="26"/>
  <c r="T44" i="26"/>
  <c r="O44" i="26"/>
  <c r="T38" i="26"/>
  <c r="O38" i="26"/>
  <c r="N28" i="26"/>
  <c r="S25" i="26"/>
  <c r="S19" i="26"/>
  <c r="N13" i="26"/>
  <c r="S7" i="26"/>
  <c r="N7" i="26"/>
  <c r="K34" i="26"/>
  <c r="J34" i="26"/>
  <c r="G30" i="26"/>
  <c r="F30" i="26"/>
  <c r="E30" i="26"/>
  <c r="D30" i="26"/>
  <c r="C30" i="26"/>
  <c r="B30" i="26"/>
  <c r="E10" i="22"/>
  <c r="F5" i="22"/>
  <c r="H22" i="22"/>
  <c r="F22" i="22"/>
  <c r="G22" i="22"/>
  <c r="J22" i="22"/>
  <c r="M22" i="22"/>
  <c r="G36" i="22"/>
  <c r="G26" i="22"/>
  <c r="H31" i="22"/>
  <c r="F17" i="22"/>
  <c r="G17" i="22"/>
  <c r="K17" i="22"/>
  <c r="L17" i="22"/>
  <c r="H32" i="22"/>
  <c r="F18" i="22"/>
  <c r="F7" i="22"/>
  <c r="I7" i="22"/>
  <c r="H18" i="22"/>
  <c r="G18" i="22"/>
  <c r="I18" i="22"/>
  <c r="J18" i="22"/>
  <c r="M18" i="22"/>
  <c r="G33" i="22"/>
  <c r="F19" i="22"/>
  <c r="G19" i="22"/>
  <c r="J19" i="22"/>
  <c r="M19" i="22"/>
  <c r="G34" i="22"/>
  <c r="F20" i="22"/>
  <c r="G20" i="22"/>
  <c r="J20" i="22"/>
  <c r="M20" i="22"/>
  <c r="G35" i="22"/>
  <c r="F23" i="22"/>
  <c r="G23" i="22"/>
  <c r="J23" i="22"/>
  <c r="M23" i="22"/>
  <c r="G37" i="22"/>
  <c r="F24" i="22"/>
  <c r="G24" i="22"/>
  <c r="I24" i="22"/>
  <c r="J24" i="22"/>
  <c r="M24" i="22"/>
  <c r="G38" i="22"/>
  <c r="H39" i="22"/>
  <c r="G39" i="22"/>
  <c r="F21" i="22"/>
  <c r="G13" i="22"/>
  <c r="I13" i="22"/>
  <c r="H21" i="22"/>
  <c r="G21" i="22"/>
  <c r="J21" i="22"/>
  <c r="M21" i="22"/>
  <c r="G40" i="22"/>
  <c r="H41" i="22"/>
  <c r="G42" i="22"/>
  <c r="L25" i="22"/>
  <c r="Q13" i="22"/>
  <c r="Q11" i="22"/>
  <c r="Q7" i="22"/>
  <c r="Q8" i="22"/>
  <c r="Q9" i="22"/>
  <c r="Q6" i="22"/>
  <c r="Q5" i="22"/>
  <c r="Q4" i="22"/>
  <c r="Q3" i="22"/>
  <c r="M25" i="22"/>
  <c r="M16" i="22"/>
  <c r="D10" i="22"/>
  <c r="F26" i="22"/>
  <c r="K26" i="22"/>
  <c r="J26" i="22"/>
  <c r="F25" i="22"/>
  <c r="G25" i="22"/>
  <c r="K25" i="22"/>
  <c r="J25" i="22"/>
  <c r="K24" i="22"/>
  <c r="K23" i="22"/>
  <c r="K22" i="22"/>
  <c r="K21" i="22"/>
  <c r="K20" i="22"/>
  <c r="K18" i="22"/>
  <c r="K19" i="22"/>
  <c r="J17" i="22"/>
  <c r="F16" i="22"/>
  <c r="G16" i="22"/>
  <c r="K16" i="22"/>
  <c r="J16" i="22"/>
  <c r="F15" i="22"/>
  <c r="G15" i="22"/>
  <c r="K15" i="22"/>
  <c r="J15" i="22"/>
  <c r="F14" i="22"/>
  <c r="G14" i="22"/>
  <c r="K14" i="22"/>
  <c r="J14" i="22"/>
  <c r="F13" i="22"/>
  <c r="K13" i="22"/>
  <c r="J13" i="22"/>
  <c r="F12" i="22"/>
  <c r="G12" i="22"/>
  <c r="K12" i="22"/>
  <c r="J12" i="22"/>
  <c r="F11" i="22"/>
  <c r="G11" i="22"/>
  <c r="K11" i="22"/>
  <c r="J11" i="22"/>
  <c r="F10" i="22"/>
  <c r="G10" i="22"/>
  <c r="K10" i="22"/>
  <c r="J10" i="22"/>
  <c r="F9" i="22"/>
  <c r="H9" i="22"/>
  <c r="G9" i="22"/>
  <c r="K9" i="22"/>
  <c r="J9" i="22"/>
  <c r="F8" i="22"/>
  <c r="G8" i="22"/>
  <c r="K8" i="22"/>
  <c r="J8" i="22"/>
  <c r="G7" i="22"/>
  <c r="K7" i="22"/>
  <c r="J7" i="22"/>
  <c r="F6" i="22"/>
  <c r="G6" i="22"/>
  <c r="I6" i="22"/>
  <c r="K6" i="22"/>
  <c r="J6" i="22"/>
  <c r="G5" i="22"/>
  <c r="K5" i="22"/>
  <c r="J5" i="22"/>
  <c r="N18" i="22"/>
  <c r="O18" i="22"/>
  <c r="E27" i="22"/>
  <c r="D27" i="22"/>
  <c r="C27" i="22"/>
  <c r="B27" i="22"/>
  <c r="G41" i="22"/>
  <c r="D26" i="23"/>
  <c r="G2" i="23"/>
  <c r="H2" i="23"/>
  <c r="C25" i="23"/>
  <c r="C24" i="23"/>
  <c r="C17" i="23"/>
  <c r="D19" i="23"/>
  <c r="D18" i="23"/>
  <c r="D11" i="23"/>
  <c r="C9" i="23"/>
  <c r="C10" i="23"/>
  <c r="AF7" i="24"/>
  <c r="AD9" i="24"/>
  <c r="AC14" i="24"/>
  <c r="AC3" i="24"/>
  <c r="AD3" i="24"/>
  <c r="AE3" i="24"/>
  <c r="AC4" i="24"/>
  <c r="C4" i="24"/>
  <c r="AD4" i="24"/>
  <c r="AE4" i="24"/>
  <c r="AC5" i="24"/>
  <c r="C5" i="24"/>
  <c r="AD5" i="24"/>
  <c r="AE5" i="24"/>
  <c r="AC6" i="24"/>
  <c r="C6" i="24"/>
  <c r="AD6" i="24"/>
  <c r="AE6" i="24"/>
  <c r="AE7" i="24"/>
  <c r="AH3" i="24"/>
  <c r="AI3" i="24"/>
  <c r="AH4" i="24"/>
  <c r="AI4" i="24"/>
  <c r="AH5" i="24"/>
  <c r="AI5" i="24"/>
  <c r="AH6" i="24"/>
  <c r="AI6" i="24"/>
  <c r="AI7" i="24"/>
  <c r="AC7" i="24"/>
  <c r="AH7" i="24"/>
  <c r="AD8" i="24"/>
  <c r="AI8" i="24"/>
  <c r="AI10" i="24"/>
  <c r="AG7" i="24"/>
  <c r="AC15" i="24"/>
  <c r="AC16" i="24"/>
  <c r="B17" i="24"/>
  <c r="AC17" i="24"/>
  <c r="AC18" i="24"/>
  <c r="AC19" i="24"/>
  <c r="AC20" i="24"/>
  <c r="W7" i="24"/>
  <c r="U9" i="24"/>
  <c r="T14" i="24"/>
  <c r="T3" i="24"/>
  <c r="U3" i="24"/>
  <c r="V3" i="24"/>
  <c r="T4" i="24"/>
  <c r="U4" i="24"/>
  <c r="V4" i="24"/>
  <c r="T5" i="24"/>
  <c r="U5" i="24"/>
  <c r="V5" i="24"/>
  <c r="T6" i="24"/>
  <c r="U6" i="24"/>
  <c r="V6" i="24"/>
  <c r="V7" i="24"/>
  <c r="W6" i="24"/>
  <c r="W5" i="24"/>
  <c r="W4" i="24"/>
  <c r="W3" i="24"/>
  <c r="Y3" i="24"/>
  <c r="Z3" i="24"/>
  <c r="Y4" i="24"/>
  <c r="Z4" i="24"/>
  <c r="Y5" i="24"/>
  <c r="Z5" i="24"/>
  <c r="Y6" i="24"/>
  <c r="Z6" i="24"/>
  <c r="Z7" i="24"/>
  <c r="T7" i="24"/>
  <c r="Y7" i="24"/>
  <c r="U8" i="24"/>
  <c r="Z8" i="24"/>
  <c r="Z10" i="24"/>
  <c r="X7" i="24"/>
  <c r="T15" i="24"/>
  <c r="T16" i="24"/>
  <c r="T17" i="24"/>
  <c r="T18" i="24"/>
  <c r="T19" i="24"/>
  <c r="T20" i="24"/>
  <c r="N7" i="24"/>
  <c r="L9" i="24"/>
  <c r="K14" i="24"/>
  <c r="K3" i="24"/>
  <c r="L3" i="24"/>
  <c r="M3" i="24"/>
  <c r="K4" i="24"/>
  <c r="L4" i="24"/>
  <c r="M4" i="24"/>
  <c r="K5" i="24"/>
  <c r="L5" i="24"/>
  <c r="M5" i="24"/>
  <c r="K6" i="24"/>
  <c r="L6" i="24"/>
  <c r="M6" i="24"/>
  <c r="M7" i="24"/>
  <c r="K7" i="24"/>
  <c r="P7" i="24"/>
  <c r="L7" i="24"/>
  <c r="Q7" i="24"/>
  <c r="L8" i="24"/>
  <c r="Q8" i="24"/>
  <c r="Q10" i="24"/>
  <c r="O7" i="24"/>
  <c r="K15" i="24"/>
  <c r="K16" i="24"/>
  <c r="K17" i="24"/>
  <c r="K18" i="24"/>
  <c r="K19" i="24"/>
  <c r="K20" i="24"/>
  <c r="B14" i="24"/>
  <c r="D3" i="24"/>
  <c r="D4" i="24"/>
  <c r="D5" i="24"/>
  <c r="D6" i="24"/>
  <c r="D7" i="24"/>
  <c r="E3" i="24"/>
  <c r="G3" i="24"/>
  <c r="H3" i="24"/>
  <c r="E4" i="24"/>
  <c r="G4" i="24"/>
  <c r="H4" i="24"/>
  <c r="E5" i="24"/>
  <c r="G5" i="24"/>
  <c r="H5" i="24"/>
  <c r="E6" i="24"/>
  <c r="G6" i="24"/>
  <c r="H6" i="24"/>
  <c r="H7" i="24"/>
  <c r="B7" i="24"/>
  <c r="G7" i="24"/>
  <c r="H8" i="24"/>
  <c r="H10" i="24"/>
  <c r="F7" i="24"/>
  <c r="B15" i="24"/>
  <c r="B16" i="24"/>
  <c r="B18" i="24"/>
  <c r="B19" i="24"/>
  <c r="B20" i="24"/>
  <c r="AG6" i="24"/>
  <c r="X6" i="24"/>
  <c r="F6" i="24"/>
  <c r="AG5" i="24"/>
  <c r="X5" i="24"/>
  <c r="F5" i="24"/>
  <c r="AG4" i="24"/>
  <c r="X4" i="24"/>
  <c r="F4" i="24"/>
  <c r="AG3" i="24"/>
  <c r="X3" i="24"/>
  <c r="F3" i="24"/>
  <c r="AF7" i="25"/>
  <c r="AD9" i="25"/>
  <c r="AC14" i="25"/>
  <c r="AC3" i="25"/>
  <c r="AD3" i="25"/>
  <c r="AE3" i="25"/>
  <c r="AC4" i="25"/>
  <c r="C4" i="25"/>
  <c r="AD4" i="25"/>
  <c r="AE4" i="25"/>
  <c r="AC5" i="25"/>
  <c r="C5" i="25"/>
  <c r="AD5" i="25"/>
  <c r="AE5" i="25"/>
  <c r="AC6" i="25"/>
  <c r="C6" i="25"/>
  <c r="AD6" i="25"/>
  <c r="AE6" i="25"/>
  <c r="AE7" i="25"/>
  <c r="AH3" i="25"/>
  <c r="AI3" i="25"/>
  <c r="AH4" i="25"/>
  <c r="AI4" i="25"/>
  <c r="AH5" i="25"/>
  <c r="AI5" i="25"/>
  <c r="AH6" i="25"/>
  <c r="AI6" i="25"/>
  <c r="AI7" i="25"/>
  <c r="AC7" i="25"/>
  <c r="AH7" i="25"/>
  <c r="AD8" i="25"/>
  <c r="AI8" i="25"/>
  <c r="AI10" i="25"/>
  <c r="AG7" i="25"/>
  <c r="AC15" i="25"/>
  <c r="AC16" i="25"/>
  <c r="B17" i="25"/>
  <c r="AC17" i="25"/>
  <c r="AC18" i="25"/>
  <c r="AC19" i="25"/>
  <c r="W7" i="25"/>
  <c r="U9" i="25"/>
  <c r="T14" i="25"/>
  <c r="T3" i="25"/>
  <c r="U3" i="25"/>
  <c r="V3" i="25"/>
  <c r="T4" i="25"/>
  <c r="U4" i="25"/>
  <c r="V4" i="25"/>
  <c r="T5" i="25"/>
  <c r="U5" i="25"/>
  <c r="V5" i="25"/>
  <c r="T6" i="25"/>
  <c r="U6" i="25"/>
  <c r="V6" i="25"/>
  <c r="V7" i="25"/>
  <c r="W6" i="25"/>
  <c r="W5" i="25"/>
  <c r="W4" i="25"/>
  <c r="W3" i="25"/>
  <c r="Y3" i="25"/>
  <c r="Z3" i="25"/>
  <c r="Y4" i="25"/>
  <c r="Z4" i="25"/>
  <c r="Y5" i="25"/>
  <c r="Z5" i="25"/>
  <c r="Y6" i="25"/>
  <c r="Z6" i="25"/>
  <c r="Z7" i="25"/>
  <c r="T7" i="25"/>
  <c r="Y7" i="25"/>
  <c r="U8" i="25"/>
  <c r="Z8" i="25"/>
  <c r="Z10" i="25"/>
  <c r="X7" i="25"/>
  <c r="T15" i="25"/>
  <c r="T16" i="25"/>
  <c r="T17" i="25"/>
  <c r="T18" i="25"/>
  <c r="T19" i="25"/>
  <c r="N7" i="25"/>
  <c r="L9" i="25"/>
  <c r="K14" i="25"/>
  <c r="K3" i="25"/>
  <c r="L3" i="25"/>
  <c r="M3" i="25"/>
  <c r="K4" i="25"/>
  <c r="L4" i="25"/>
  <c r="M4" i="25"/>
  <c r="K5" i="25"/>
  <c r="L5" i="25"/>
  <c r="M5" i="25"/>
  <c r="K6" i="25"/>
  <c r="L6" i="25"/>
  <c r="M6" i="25"/>
  <c r="M7" i="25"/>
  <c r="K7" i="25"/>
  <c r="P7" i="25"/>
  <c r="L7" i="25"/>
  <c r="Q7" i="25"/>
  <c r="L8" i="25"/>
  <c r="Q8" i="25"/>
  <c r="Q10" i="25"/>
  <c r="O7" i="25"/>
  <c r="K15" i="25"/>
  <c r="K16" i="25"/>
  <c r="K17" i="25"/>
  <c r="K18" i="25"/>
  <c r="K19" i="25"/>
  <c r="B14" i="25"/>
  <c r="D3" i="25"/>
  <c r="D4" i="25"/>
  <c r="D5" i="25"/>
  <c r="D6" i="25"/>
  <c r="D7" i="25"/>
  <c r="E3" i="25"/>
  <c r="G3" i="25"/>
  <c r="H3" i="25"/>
  <c r="E4" i="25"/>
  <c r="G4" i="25"/>
  <c r="H4" i="25"/>
  <c r="E5" i="25"/>
  <c r="G5" i="25"/>
  <c r="H5" i="25"/>
  <c r="E6" i="25"/>
  <c r="G6" i="25"/>
  <c r="H6" i="25"/>
  <c r="H7" i="25"/>
  <c r="B7" i="25"/>
  <c r="G7" i="25"/>
  <c r="H8" i="25"/>
  <c r="H10" i="25"/>
  <c r="F7" i="25"/>
  <c r="B15" i="25"/>
  <c r="B16" i="25"/>
  <c r="B18" i="25"/>
  <c r="B19" i="25"/>
  <c r="AG6" i="25"/>
  <c r="AG5" i="25"/>
  <c r="AG4" i="25"/>
  <c r="AG3" i="25"/>
  <c r="F6" i="25"/>
  <c r="F5" i="25"/>
  <c r="F4" i="25"/>
  <c r="O6" i="22"/>
  <c r="U6" i="22"/>
  <c r="N5" i="22"/>
  <c r="U5" i="22"/>
  <c r="T5" i="22"/>
  <c r="O11" i="22"/>
  <c r="X5" i="22"/>
  <c r="O12" i="22"/>
  <c r="X6" i="22"/>
  <c r="X7" i="22"/>
  <c r="O13" i="22"/>
  <c r="X12" i="22"/>
  <c r="O14" i="22"/>
  <c r="X13" i="22"/>
  <c r="O15" i="22"/>
  <c r="X14" i="22"/>
  <c r="O16" i="22"/>
  <c r="X15" i="22"/>
  <c r="X16" i="22"/>
  <c r="X18" i="22"/>
  <c r="W13" i="22"/>
  <c r="W14" i="22"/>
  <c r="W15" i="22"/>
  <c r="W12" i="22"/>
  <c r="W6" i="22"/>
  <c r="W5" i="22"/>
  <c r="U7" i="22"/>
  <c r="N7" i="22"/>
  <c r="U12" i="22"/>
  <c r="N8" i="22"/>
  <c r="U13" i="22"/>
  <c r="N9" i="22"/>
  <c r="U14" i="22"/>
  <c r="N10" i="22"/>
  <c r="U15" i="22"/>
  <c r="U16" i="22"/>
  <c r="U18" i="22"/>
  <c r="T13" i="22"/>
  <c r="T14" i="22"/>
  <c r="T15" i="22"/>
  <c r="T12" i="22"/>
  <c r="T6" i="22"/>
  <c r="O9" i="22"/>
  <c r="O10" i="22"/>
  <c r="N6" i="22"/>
  <c r="N16" i="22"/>
  <c r="N14" i="22"/>
  <c r="N19" i="22"/>
  <c r="O19" i="22"/>
  <c r="F30" i="22"/>
  <c r="O5" i="22"/>
  <c r="O7" i="22"/>
  <c r="O8" i="22"/>
  <c r="O17" i="22"/>
  <c r="O24" i="22"/>
  <c r="O20" i="22"/>
  <c r="O21" i="22"/>
  <c r="O22" i="22"/>
  <c r="O23" i="22"/>
  <c r="O26" i="22"/>
  <c r="N11" i="22"/>
  <c r="N12" i="22"/>
  <c r="N13" i="22"/>
  <c r="N15" i="22"/>
  <c r="N17" i="22"/>
  <c r="N24" i="22"/>
  <c r="N20" i="22"/>
  <c r="N21" i="22"/>
  <c r="N22" i="22"/>
  <c r="N23" i="22"/>
  <c r="N26" i="22"/>
  <c r="K27" i="22"/>
  <c r="J27" i="22"/>
  <c r="I27" i="22"/>
  <c r="H27" i="22"/>
  <c r="G27" i="22"/>
  <c r="F27" i="22"/>
  <c r="AD7" i="25"/>
  <c r="AC20" i="25"/>
  <c r="T20" i="25"/>
  <c r="K20" i="25"/>
  <c r="B20" i="25"/>
  <c r="X6" i="25"/>
  <c r="X5" i="25"/>
  <c r="X4" i="25"/>
  <c r="X3" i="25"/>
  <c r="F3" i="25"/>
  <c r="L27" i="22"/>
  <c r="M27" i="22"/>
  <c r="N25" i="22"/>
  <c r="N27" i="22"/>
  <c r="O25" i="22"/>
  <c r="O27" i="22"/>
  <c r="H43" i="22"/>
  <c r="G43" i="22"/>
  <c r="H45" i="22"/>
</calcChain>
</file>

<file path=xl/sharedStrings.xml><?xml version="1.0" encoding="utf-8"?>
<sst xmlns="http://schemas.openxmlformats.org/spreadsheetml/2006/main" count="597" uniqueCount="193">
  <si>
    <t>Gross Profit</t>
  </si>
  <si>
    <t>Net Income</t>
  </si>
  <si>
    <t>COGS</t>
  </si>
  <si>
    <t>ACCOUNTS</t>
  </si>
  <si>
    <t>TOTALS</t>
  </si>
  <si>
    <t>Share capital</t>
  </si>
  <si>
    <t>Dr</t>
  </si>
  <si>
    <t>Cr</t>
  </si>
  <si>
    <t>Dr balance</t>
  </si>
  <si>
    <t>Cr balance</t>
  </si>
  <si>
    <t>Accounts receivable</t>
  </si>
  <si>
    <t>Taxes payable</t>
  </si>
  <si>
    <t>Retained earnings</t>
  </si>
  <si>
    <t>#</t>
  </si>
  <si>
    <t>Sales</t>
  </si>
  <si>
    <t>FINAL BALANCE</t>
  </si>
  <si>
    <t>EBIT</t>
  </si>
  <si>
    <t>EBT</t>
  </si>
  <si>
    <t>Units</t>
  </si>
  <si>
    <t>Unit cost</t>
  </si>
  <si>
    <t>Value</t>
  </si>
  <si>
    <t>Sold units</t>
  </si>
  <si>
    <t>Ending Inventory (units)</t>
  </si>
  <si>
    <t>Ending Inventory (method valuation)</t>
  </si>
  <si>
    <t>Initial Inventory</t>
  </si>
  <si>
    <t>Ending Inventory value</t>
  </si>
  <si>
    <t>Net realizable value @ 31/12</t>
  </si>
  <si>
    <t>Purchase #1</t>
  </si>
  <si>
    <t>Purchase #2</t>
  </si>
  <si>
    <t>Purchase #3</t>
  </si>
  <si>
    <t>Avg sale price</t>
  </si>
  <si>
    <t>Other expenses</t>
  </si>
  <si>
    <t>Tax @ 20%</t>
  </si>
  <si>
    <t>Income Statement</t>
  </si>
  <si>
    <t>Cash</t>
  </si>
  <si>
    <t>Residual value</t>
  </si>
  <si>
    <t>TRIAL BALANCES</t>
  </si>
  <si>
    <t>Unadjusted Balances</t>
  </si>
  <si>
    <t>Adjusting entries</t>
  </si>
  <si>
    <t>Adjusted Balances</t>
  </si>
  <si>
    <t>Net Income entries</t>
  </si>
  <si>
    <t>Equipment</t>
  </si>
  <si>
    <t>Accumulated depreciation: equipment</t>
  </si>
  <si>
    <t>Salaries and wages expense</t>
  </si>
  <si>
    <t>Insurance expenses</t>
  </si>
  <si>
    <t>Interest expenses</t>
  </si>
  <si>
    <t>Depreciation expenses</t>
  </si>
  <si>
    <t>Rent expenses</t>
  </si>
  <si>
    <t>Income Tax</t>
  </si>
  <si>
    <t>ASSETS</t>
  </si>
  <si>
    <t>LIABILITIES &amp; EQUITY</t>
  </si>
  <si>
    <t>Fixed Assets</t>
  </si>
  <si>
    <t>Shareholders' Equity</t>
  </si>
  <si>
    <t>Total Fixed Assets</t>
  </si>
  <si>
    <t>Total Shareholders' Equity</t>
  </si>
  <si>
    <t>Current Assets</t>
  </si>
  <si>
    <t>Earnings Before Interest and Tax</t>
  </si>
  <si>
    <t>Total Long-term Liabilities</t>
  </si>
  <si>
    <t>Earnings Before Tax</t>
  </si>
  <si>
    <t>Total Current Assets</t>
  </si>
  <si>
    <t>Current Liabilities</t>
  </si>
  <si>
    <t>Total Current Liabilities</t>
  </si>
  <si>
    <t>Total Assets</t>
  </si>
  <si>
    <t>Total Liabilities &amp; Equity</t>
  </si>
  <si>
    <t>ABC</t>
  </si>
  <si>
    <t>Useful life</t>
  </si>
  <si>
    <t>+</t>
  </si>
  <si>
    <t>-</t>
  </si>
  <si>
    <t>=</t>
  </si>
  <si>
    <t>Purchase #4</t>
  </si>
  <si>
    <t>Cost</t>
  </si>
  <si>
    <t>Annual Depr</t>
  </si>
  <si>
    <t>PERIODIC INVENTORY SYSTEM - F.I.F.O. METHOD - DECEMBER 2020</t>
  </si>
  <si>
    <t>1/12 - 31/12/2020</t>
  </si>
  <si>
    <t>PERIODIC INVENTORY SYSTEM - WEIGHTED AVERAGE METHOD - DECEMBER 2020</t>
  </si>
  <si>
    <t>PERIODIC INVENTORY SYSTEM - L.I.F.O. METHOD - DECEMBER 2020</t>
  </si>
  <si>
    <t>PERIODIC INVENTORY SYSTEM - SPECIFIC IDENTIFICATION - DECEMBER 2020</t>
  </si>
  <si>
    <t>Machine</t>
  </si>
  <si>
    <t>Machine (purchase 01.03.2018)</t>
  </si>
  <si>
    <t>Insurance receivable</t>
  </si>
  <si>
    <t>Depreciation 2018</t>
  </si>
  <si>
    <t>Depreciation 2020 (30.06)</t>
  </si>
  <si>
    <t>Depreciation 2021 (31.05)</t>
  </si>
  <si>
    <t>Depreciation 2022 (31.10)</t>
  </si>
  <si>
    <t>Accumulated depreciation of machine</t>
  </si>
  <si>
    <t>Loss from machine damage</t>
  </si>
  <si>
    <t>[1]</t>
  </si>
  <si>
    <t xml:space="preserve">"Machine destroyed on June 1, 2021" </t>
  </si>
  <si>
    <t>[2]</t>
  </si>
  <si>
    <t>Gain on sale of machine</t>
  </si>
  <si>
    <t xml:space="preserve">"Sale of machine on November 1, 2022 for 32.000€ cash" </t>
  </si>
  <si>
    <t>[3]</t>
  </si>
  <si>
    <t>New equipment</t>
  </si>
  <si>
    <t>"Exchange of machine with new equipment with no additional cash"</t>
  </si>
  <si>
    <t>Entries</t>
  </si>
  <si>
    <t>BALANCE SHEET 31/12/2020</t>
  </si>
  <si>
    <t>Balance</t>
  </si>
  <si>
    <t>1/1-31/12/2020</t>
  </si>
  <si>
    <t>Bank loan</t>
  </si>
  <si>
    <t>Inventory</t>
  </si>
  <si>
    <t>Utilities expenses</t>
  </si>
  <si>
    <t>Cost of goods sold</t>
  </si>
  <si>
    <t>Prepaid rent</t>
  </si>
  <si>
    <t>Suppliers</t>
  </si>
  <si>
    <t>Utilities payable</t>
  </si>
  <si>
    <t>Salaries</t>
  </si>
  <si>
    <t>Insurance</t>
  </si>
  <si>
    <t>Depreciation</t>
  </si>
  <si>
    <t>Utilities</t>
  </si>
  <si>
    <t>Rents</t>
  </si>
  <si>
    <t>Interest</t>
  </si>
  <si>
    <t>Tax</t>
  </si>
  <si>
    <t>Dividends</t>
  </si>
  <si>
    <t>INCOME STATEMENT (1/1/2020 - 31/12/2020)</t>
  </si>
  <si>
    <t>Allowance for doubtful accounts</t>
  </si>
  <si>
    <t>Prepaid insurance</t>
  </si>
  <si>
    <t>Land</t>
  </si>
  <si>
    <t>Buildings</t>
  </si>
  <si>
    <t>Accumulated depreciation - Buildings</t>
  </si>
  <si>
    <t>Accumulated depreciation - Equipment</t>
  </si>
  <si>
    <t>Revenues from renting hotel facilities</t>
  </si>
  <si>
    <t>Revenues from restaurants</t>
  </si>
  <si>
    <t>Utilities expense</t>
  </si>
  <si>
    <t>Maintenance and repairs expense</t>
  </si>
  <si>
    <t>Insurance expense</t>
  </si>
  <si>
    <t>Salaries and wages payable</t>
  </si>
  <si>
    <t>ASSETS' ACCOUNTS</t>
  </si>
  <si>
    <t>LIABILITIES &amp; EQUITY ACCOUNTS</t>
  </si>
  <si>
    <t>PROFIT AND LOSS ACCOUNTS</t>
  </si>
  <si>
    <t>Debit</t>
  </si>
  <si>
    <t>Credit</t>
  </si>
  <si>
    <t>---------------------------------------------[a]----------------------------------------------</t>
  </si>
  <si>
    <t>Depreciation expense</t>
  </si>
  <si>
    <t>"Account for depreciation of buildings in 2020"</t>
  </si>
  <si>
    <t>---------------------------------------------[b]----------------------------------------------</t>
  </si>
  <si>
    <t>"Account for depreciation of equipment in 2020"</t>
  </si>
  <si>
    <t>---------------------------------------------[c]----------------------------------------------</t>
  </si>
  <si>
    <t>"Expense insurance that has expired in 2020"</t>
  </si>
  <si>
    <t>---------------------------------------------[d]----------------------------------------------</t>
  </si>
  <si>
    <t>November and December (=2 months*2950 euros/10 months)"</t>
  </si>
  <si>
    <t xml:space="preserve">"Recognize revenues from renting hotel facilities for </t>
  </si>
  <si>
    <t>---------------------------------------------[e]----------------------------------------------</t>
  </si>
  <si>
    <t>Bad debt expense</t>
  </si>
  <si>
    <t xml:space="preserve">"Adjust allowance for doubtful accounts so as their balance amount </t>
  </si>
  <si>
    <t xml:space="preserve">to 10% of accounts receivable [Balance = 10%*(6500+590) = 709; </t>
  </si>
  <si>
    <t>so credit allowance with 709-550=159]"</t>
  </si>
  <si>
    <t>---------------------------------------------[f]----------------------------------------------</t>
  </si>
  <si>
    <t>"Recognize wages expense for November &amp; December, which is owed"</t>
  </si>
  <si>
    <t>---------------------------------------------[g]----------------------------------------------</t>
  </si>
  <si>
    <t>"Adjust for unearned revenues"</t>
  </si>
  <si>
    <t>JOURNAL - ADJUSTING ENTRIES</t>
  </si>
  <si>
    <t>GENERAL LEDGER - ADJUSTING ENTRIES</t>
  </si>
  <si>
    <t>Unearned revenue</t>
  </si>
  <si>
    <t>Revenues from accommodation</t>
  </si>
  <si>
    <t>Unadjusted balance 31.12</t>
  </si>
  <si>
    <t>Adjusted balance 31.12</t>
  </si>
  <si>
    <t>[a]</t>
  </si>
  <si>
    <t>[b]</t>
  </si>
  <si>
    <t>[c]</t>
  </si>
  <si>
    <t>[d]</t>
  </si>
  <si>
    <t>[e]</t>
  </si>
  <si>
    <t>[f]</t>
  </si>
  <si>
    <t>[g]</t>
  </si>
  <si>
    <t>Closing entries</t>
  </si>
  <si>
    <t>Final Balances</t>
  </si>
  <si>
    <t>JOURNAL - CLOSING ENTRIES</t>
  </si>
  <si>
    <t>GENERAL LEDGER - CLOSING ENTRIES</t>
  </si>
  <si>
    <t>---------------------------------------------[1]----------------------------------------------</t>
  </si>
  <si>
    <t>"Close out revenues to net income account"</t>
  </si>
  <si>
    <t>---------------------------------------------[2]----------------------------------------------</t>
  </si>
  <si>
    <t>---------------------------------------------[3]----------------------------------------------</t>
  </si>
  <si>
    <t>"Calculate and account for income tax @20%"</t>
  </si>
  <si>
    <t>---------------------------------------------[4]----------------------------------------------</t>
  </si>
  <si>
    <t>"Close out expenses to net income account"</t>
  </si>
  <si>
    <t>"Close out income tax expense to net income account"</t>
  </si>
  <si>
    <t>---------------------------------------------[5]----------------------------------------------</t>
  </si>
  <si>
    <t>"Close out net income account to retained earnings"</t>
  </si>
  <si>
    <t>Final balance 31.12</t>
  </si>
  <si>
    <t>[4]</t>
  </si>
  <si>
    <t>[5]</t>
  </si>
  <si>
    <t>WAVCO</t>
  </si>
  <si>
    <t>FIFO</t>
  </si>
  <si>
    <t>LIFO</t>
  </si>
  <si>
    <t>SPECIFIC IDENTIFICATION</t>
  </si>
  <si>
    <t>[1a]</t>
  </si>
  <si>
    <t xml:space="preserve">"Account for 2021 depreciation (=4.800*5/12) i.e. for 5 months" </t>
  </si>
  <si>
    <t>[1b]</t>
  </si>
  <si>
    <t>[2a]</t>
  </si>
  <si>
    <t>[2b]</t>
  </si>
  <si>
    <t xml:space="preserve">"Account for 2022 depreciation (=4.800*10/12) i.e. for 10 months" </t>
  </si>
  <si>
    <t>[3a]</t>
  </si>
  <si>
    <t>[3b]</t>
  </si>
  <si>
    <t xml:space="preserve">"Account for 2020 depreciation (=4.800*6/12) i.e. for 6 months"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</si>
</sst>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€&quot;;[Red]\-#,##0\ &quot;€&quot;"/>
    <numFmt numFmtId="164" formatCode="#,##0_ ;[Red]\-#,##0\ "/>
    <numFmt numFmtId="165" formatCode="&quot;€&quot;#,##0.0;[Red]\-&quot;€&quot;#,##0.0"/>
    <numFmt numFmtId="166" formatCode="&quot;€&quot;#,##0.00;[Red]\-&quot;€&quot;#,##0.00"/>
    <numFmt numFmtId="167" formatCode="#,##0.00;[Red]\(#,##0.00\)"/>
    <numFmt numFmtId="168" formatCode="0_);[Red]\(0\)"/>
    <numFmt numFmtId="169" formatCode="_-* #,##0\ [$€-1]_-;\-* #,##0\ [$€-1]_-;_-* &quot;-&quot;\ [$€-1]_-;_-@_-"/>
    <numFmt numFmtId="170" formatCode="#,##0.00\ [$€-1]_);[Red]\(#,##0.00\ [$€-1]\)"/>
    <numFmt numFmtId="171" formatCode="dd/mm/yyyy"/>
    <numFmt numFmtId="172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u/>
      <sz val="11"/>
      <color theme="1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i/>
      <sz val="12"/>
      <color theme="1"/>
      <name val="Calibri"/>
      <family val="2"/>
      <charset val="161"/>
      <scheme val="minor"/>
    </font>
    <font>
      <i/>
      <sz val="12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19" xfId="0" applyBorder="1"/>
    <xf numFmtId="0" fontId="1" fillId="0" borderId="20" xfId="0" applyFont="1" applyBorder="1"/>
    <xf numFmtId="6" fontId="0" fillId="0" borderId="15" xfId="0" applyNumberFormat="1" applyBorder="1"/>
    <xf numFmtId="0" fontId="0" fillId="0" borderId="15" xfId="0" applyBorder="1"/>
    <xf numFmtId="6" fontId="0" fillId="0" borderId="19" xfId="0" applyNumberFormat="1" applyBorder="1"/>
    <xf numFmtId="6" fontId="0" fillId="4" borderId="19" xfId="0" applyNumberFormat="1" applyFill="1" applyBorder="1"/>
    <xf numFmtId="6" fontId="0" fillId="0" borderId="15" xfId="0" applyNumberFormat="1" applyFill="1" applyBorder="1"/>
    <xf numFmtId="6" fontId="0" fillId="5" borderId="19" xfId="0" applyNumberFormat="1" applyFill="1" applyBorder="1"/>
    <xf numFmtId="6" fontId="0" fillId="5" borderId="15" xfId="0" applyNumberFormat="1" applyFill="1" applyBorder="1"/>
    <xf numFmtId="6" fontId="0" fillId="0" borderId="26" xfId="0" applyNumberFormat="1" applyBorder="1"/>
    <xf numFmtId="0" fontId="0" fillId="0" borderId="16" xfId="0" applyBorder="1"/>
    <xf numFmtId="6" fontId="0" fillId="4" borderId="26" xfId="0" applyNumberFormat="1" applyFill="1" applyBorder="1"/>
    <xf numFmtId="6" fontId="0" fillId="0" borderId="16" xfId="0" applyNumberFormat="1" applyFill="1" applyBorder="1"/>
    <xf numFmtId="6" fontId="0" fillId="5" borderId="26" xfId="0" applyNumberFormat="1" applyFill="1" applyBorder="1"/>
    <xf numFmtId="6" fontId="0" fillId="5" borderId="16" xfId="0" applyNumberFormat="1" applyFill="1" applyBorder="1"/>
    <xf numFmtId="0" fontId="0" fillId="0" borderId="24" xfId="0" applyBorder="1"/>
    <xf numFmtId="0" fontId="0" fillId="0" borderId="26" xfId="0" applyBorder="1"/>
    <xf numFmtId="6" fontId="1" fillId="0" borderId="20" xfId="0" applyNumberFormat="1" applyFont="1" applyBorder="1"/>
    <xf numFmtId="6" fontId="1" fillId="0" borderId="14" xfId="0" applyNumberFormat="1" applyFont="1" applyFill="1" applyBorder="1"/>
    <xf numFmtId="6" fontId="1" fillId="4" borderId="20" xfId="0" applyNumberFormat="1" applyFont="1" applyFill="1" applyBorder="1"/>
    <xf numFmtId="6" fontId="1" fillId="5" borderId="20" xfId="0" applyNumberFormat="1" applyFont="1" applyFill="1" applyBorder="1"/>
    <xf numFmtId="6" fontId="1" fillId="5" borderId="14" xfId="0" applyNumberFormat="1" applyFont="1" applyFill="1" applyBorder="1"/>
    <xf numFmtId="0" fontId="1" fillId="0" borderId="20" xfId="0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6" fontId="1" fillId="0" borderId="0" xfId="0" applyNumberFormat="1" applyFont="1" applyFill="1" applyAlignment="1"/>
    <xf numFmtId="0" fontId="0" fillId="0" borderId="1" xfId="0" applyBorder="1" applyAlignment="1">
      <alignment horizontal="right"/>
    </xf>
    <xf numFmtId="6" fontId="0" fillId="0" borderId="14" xfId="0" applyNumberFormat="1" applyFill="1" applyBorder="1"/>
    <xf numFmtId="6" fontId="0" fillId="0" borderId="20" xfId="0" applyNumberFormat="1" applyBorder="1"/>
    <xf numFmtId="6" fontId="0" fillId="0" borderId="3" xfId="0" applyNumberFormat="1" applyFill="1" applyBorder="1"/>
    <xf numFmtId="14" fontId="0" fillId="0" borderId="0" xfId="0" applyNumberFormat="1" applyAlignment="1">
      <alignment horizontal="right"/>
    </xf>
    <xf numFmtId="6" fontId="0" fillId="0" borderId="0" xfId="0" applyNumberFormat="1" applyAlignment="1">
      <alignment horizontal="left"/>
    </xf>
    <xf numFmtId="6" fontId="0" fillId="0" borderId="22" xfId="0" applyNumberFormat="1" applyBorder="1" applyAlignment="1">
      <alignment horizontal="left"/>
    </xf>
    <xf numFmtId="6" fontId="0" fillId="0" borderId="19" xfId="0" applyNumberFormat="1" applyBorder="1" applyAlignment="1">
      <alignment horizontal="right"/>
    </xf>
    <xf numFmtId="6" fontId="0" fillId="0" borderId="26" xfId="0" applyNumberFormat="1" applyBorder="1" applyAlignment="1">
      <alignment horizontal="right"/>
    </xf>
    <xf numFmtId="6" fontId="1" fillId="0" borderId="20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6" fontId="1" fillId="0" borderId="14" xfId="0" applyNumberFormat="1" applyFont="1" applyFill="1" applyBorder="1" applyAlignment="1">
      <alignment horizontal="right"/>
    </xf>
    <xf numFmtId="6" fontId="0" fillId="4" borderId="15" xfId="0" applyNumberFormat="1" applyFill="1" applyBorder="1" applyAlignment="1">
      <alignment horizontal="right"/>
    </xf>
    <xf numFmtId="6" fontId="0" fillId="4" borderId="16" xfId="0" applyNumberFormat="1" applyFill="1" applyBorder="1" applyAlignment="1">
      <alignment horizontal="right"/>
    </xf>
    <xf numFmtId="6" fontId="1" fillId="4" borderId="1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6" fontId="0" fillId="0" borderId="1" xfId="0" applyNumberFormat="1" applyBorder="1" applyAlignment="1">
      <alignment horizontal="left"/>
    </xf>
    <xf numFmtId="6" fontId="2" fillId="0" borderId="19" xfId="0" applyNumberFormat="1" applyFont="1" applyBorder="1"/>
    <xf numFmtId="0" fontId="2" fillId="0" borderId="0" xfId="0" applyFont="1" applyAlignment="1">
      <alignment horizontal="right"/>
    </xf>
    <xf numFmtId="6" fontId="2" fillId="0" borderId="20" xfId="0" applyNumberFormat="1" applyFont="1" applyBorder="1"/>
    <xf numFmtId="0" fontId="2" fillId="0" borderId="1" xfId="0" applyFont="1" applyBorder="1" applyAlignment="1">
      <alignment horizontal="right"/>
    </xf>
    <xf numFmtId="6" fontId="1" fillId="0" borderId="15" xfId="0" applyNumberFormat="1" applyFont="1" applyFill="1" applyBorder="1"/>
    <xf numFmtId="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/>
    <xf numFmtId="0" fontId="0" fillId="0" borderId="19" xfId="0" applyFill="1" applyBorder="1"/>
    <xf numFmtId="0" fontId="0" fillId="0" borderId="0" xfId="0" applyAlignment="1">
      <alignment horizontal="center"/>
    </xf>
    <xf numFmtId="6" fontId="0" fillId="0" borderId="0" xfId="0" applyNumberFormat="1" applyBorder="1"/>
    <xf numFmtId="167" fontId="0" fillId="0" borderId="10" xfId="0" applyNumberFormat="1" applyBorder="1"/>
    <xf numFmtId="0" fontId="1" fillId="0" borderId="27" xfId="0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0" fontId="0" fillId="0" borderId="7" xfId="0" applyBorder="1"/>
    <xf numFmtId="0" fontId="2" fillId="0" borderId="9" xfId="0" applyFont="1" applyBorder="1"/>
    <xf numFmtId="0" fontId="0" fillId="0" borderId="29" xfId="0" applyBorder="1"/>
    <xf numFmtId="167" fontId="2" fillId="0" borderId="10" xfId="0" applyNumberFormat="1" applyFont="1" applyBorder="1"/>
    <xf numFmtId="0" fontId="1" fillId="0" borderId="11" xfId="0" applyFont="1" applyBorder="1"/>
    <xf numFmtId="167" fontId="1" fillId="0" borderId="13" xfId="0" applyNumberFormat="1" applyFont="1" applyBorder="1"/>
    <xf numFmtId="0" fontId="1" fillId="0" borderId="9" xfId="0" applyFont="1" applyBorder="1"/>
    <xf numFmtId="0" fontId="0" fillId="0" borderId="11" xfId="0" applyBorder="1"/>
    <xf numFmtId="167" fontId="0" fillId="0" borderId="12" xfId="0" applyNumberFormat="1" applyBorder="1"/>
    <xf numFmtId="0" fontId="0" fillId="0" borderId="30" xfId="0" applyBorder="1"/>
    <xf numFmtId="0" fontId="0" fillId="0" borderId="12" xfId="0" applyBorder="1"/>
    <xf numFmtId="167" fontId="0" fillId="0" borderId="13" xfId="0" applyNumberFormat="1" applyBorder="1"/>
    <xf numFmtId="6" fontId="0" fillId="0" borderId="10" xfId="0" applyNumberFormat="1" applyFill="1" applyBorder="1"/>
    <xf numFmtId="6" fontId="0" fillId="0" borderId="8" xfId="0" applyNumberFormat="1" applyFill="1" applyBorder="1"/>
    <xf numFmtId="6" fontId="2" fillId="0" borderId="15" xfId="0" applyNumberFormat="1" applyFont="1" applyFill="1" applyBorder="1"/>
    <xf numFmtId="6" fontId="1" fillId="0" borderId="16" xfId="0" applyNumberFormat="1" applyFont="1" applyFill="1" applyBorder="1"/>
    <xf numFmtId="167" fontId="0" fillId="0" borderId="0" xfId="0" applyNumberFormat="1" applyBorder="1"/>
    <xf numFmtId="0" fontId="2" fillId="0" borderId="0" xfId="0" applyFont="1" applyBorder="1"/>
    <xf numFmtId="6" fontId="2" fillId="0" borderId="10" xfId="0" applyNumberFormat="1" applyFont="1" applyFill="1" applyBorder="1"/>
    <xf numFmtId="0" fontId="1" fillId="0" borderId="0" xfId="0" applyFont="1" applyBorder="1"/>
    <xf numFmtId="6" fontId="1" fillId="0" borderId="17" xfId="0" applyNumberFormat="1" applyFont="1" applyFill="1" applyBorder="1"/>
    <xf numFmtId="0" fontId="7" fillId="0" borderId="0" xfId="0" applyFont="1"/>
    <xf numFmtId="0" fontId="6" fillId="4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 wrapText="1"/>
    </xf>
    <xf numFmtId="0" fontId="7" fillId="0" borderId="9" xfId="0" applyFont="1" applyBorder="1"/>
    <xf numFmtId="164" fontId="7" fillId="0" borderId="0" xfId="0" applyNumberFormat="1" applyFont="1" applyBorder="1"/>
    <xf numFmtId="166" fontId="7" fillId="0" borderId="0" xfId="0" applyNumberFormat="1" applyFont="1" applyBorder="1"/>
    <xf numFmtId="165" fontId="7" fillId="3" borderId="0" xfId="0" applyNumberFormat="1" applyFont="1" applyFill="1" applyBorder="1"/>
    <xf numFmtId="166" fontId="7" fillId="0" borderId="10" xfId="0" applyNumberFormat="1" applyFont="1" applyBorder="1"/>
    <xf numFmtId="164" fontId="7" fillId="3" borderId="0" xfId="0" applyNumberFormat="1" applyFont="1" applyFill="1" applyBorder="1"/>
    <xf numFmtId="165" fontId="7" fillId="3" borderId="10" xfId="0" applyNumberFormat="1" applyFont="1" applyFill="1" applyBorder="1"/>
    <xf numFmtId="0" fontId="7" fillId="0" borderId="7" xfId="0" applyFont="1" applyBorder="1"/>
    <xf numFmtId="164" fontId="7" fillId="0" borderId="1" xfId="0" applyNumberFormat="1" applyFont="1" applyBorder="1"/>
    <xf numFmtId="166" fontId="7" fillId="0" borderId="1" xfId="0" applyNumberFormat="1" applyFont="1" applyBorder="1"/>
    <xf numFmtId="165" fontId="7" fillId="3" borderId="1" xfId="0" applyNumberFormat="1" applyFont="1" applyFill="1" applyBorder="1"/>
    <xf numFmtId="166" fontId="7" fillId="0" borderId="8" xfId="0" applyNumberFormat="1" applyFont="1" applyBorder="1"/>
    <xf numFmtId="164" fontId="7" fillId="3" borderId="1" xfId="0" applyNumberFormat="1" applyFont="1" applyFill="1" applyBorder="1"/>
    <xf numFmtId="165" fontId="7" fillId="3" borderId="8" xfId="0" applyNumberFormat="1" applyFont="1" applyFill="1" applyBorder="1"/>
    <xf numFmtId="0" fontId="6" fillId="0" borderId="9" xfId="0" applyFont="1" applyBorder="1"/>
    <xf numFmtId="164" fontId="6" fillId="0" borderId="0" xfId="0" applyNumberFormat="1" applyFont="1" applyBorder="1"/>
    <xf numFmtId="165" fontId="6" fillId="0" borderId="0" xfId="0" applyNumberFormat="1" applyFont="1" applyBorder="1"/>
    <xf numFmtId="166" fontId="6" fillId="0" borderId="0" xfId="0" applyNumberFormat="1" applyFont="1" applyBorder="1"/>
    <xf numFmtId="166" fontId="6" fillId="0" borderId="10" xfId="0" applyNumberFormat="1" applyFont="1" applyBorder="1"/>
    <xf numFmtId="0" fontId="6" fillId="0" borderId="0" xfId="0" applyFont="1" applyBorder="1"/>
    <xf numFmtId="0" fontId="6" fillId="0" borderId="11" xfId="0" applyFont="1" applyBorder="1"/>
    <xf numFmtId="0" fontId="6" fillId="0" borderId="12" xfId="0" applyFont="1" applyBorder="1"/>
    <xf numFmtId="166" fontId="6" fillId="0" borderId="13" xfId="0" applyNumberFormat="1" applyFont="1" applyBorder="1"/>
    <xf numFmtId="164" fontId="7" fillId="0" borderId="0" xfId="0" applyNumberFormat="1" applyFont="1"/>
    <xf numFmtId="166" fontId="7" fillId="0" borderId="0" xfId="0" applyNumberFormat="1" applyFont="1"/>
    <xf numFmtId="165" fontId="7" fillId="0" borderId="0" xfId="0" applyNumberFormat="1" applyFont="1"/>
    <xf numFmtId="0" fontId="7" fillId="0" borderId="4" xfId="0" applyFont="1" applyBorder="1"/>
    <xf numFmtId="166" fontId="7" fillId="0" borderId="6" xfId="0" applyNumberFormat="1" applyFont="1" applyBorder="1"/>
    <xf numFmtId="0" fontId="8" fillId="0" borderId="9" xfId="0" applyFont="1" applyBorder="1"/>
    <xf numFmtId="166" fontId="8" fillId="0" borderId="10" xfId="0" applyNumberFormat="1" applyFont="1" applyBorder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40" fontId="7" fillId="0" borderId="3" xfId="0" applyNumberFormat="1" applyFont="1" applyBorder="1" applyAlignment="1">
      <alignment horizontal="center"/>
    </xf>
    <xf numFmtId="40" fontId="7" fillId="0" borderId="3" xfId="0" applyNumberFormat="1" applyFont="1" applyBorder="1" applyAlignment="1">
      <alignment horizontal="center" wrapText="1"/>
    </xf>
    <xf numFmtId="40" fontId="7" fillId="0" borderId="0" xfId="0" applyNumberFormat="1" applyFont="1" applyAlignment="1">
      <alignment horizontal="center" wrapText="1"/>
    </xf>
    <xf numFmtId="40" fontId="7" fillId="0" borderId="0" xfId="0" applyNumberFormat="1" applyFont="1" applyAlignment="1">
      <alignment horizontal="center"/>
    </xf>
    <xf numFmtId="0" fontId="7" fillId="0" borderId="3" xfId="0" applyFont="1" applyBorder="1"/>
    <xf numFmtId="169" fontId="7" fillId="0" borderId="3" xfId="0" applyNumberFormat="1" applyFont="1" applyBorder="1"/>
    <xf numFmtId="38" fontId="7" fillId="0" borderId="3" xfId="0" applyNumberFormat="1" applyFont="1" applyBorder="1" applyAlignment="1">
      <alignment horizontal="center"/>
    </xf>
    <xf numFmtId="169" fontId="7" fillId="0" borderId="0" xfId="0" applyNumberFormat="1" applyFont="1"/>
    <xf numFmtId="40" fontId="7" fillId="0" borderId="0" xfId="0" applyNumberFormat="1" applyFont="1"/>
    <xf numFmtId="0" fontId="7" fillId="0" borderId="25" xfId="0" applyFont="1" applyFill="1" applyBorder="1"/>
    <xf numFmtId="6" fontId="7" fillId="0" borderId="25" xfId="0" applyNumberFormat="1" applyFont="1" applyBorder="1"/>
    <xf numFmtId="6" fontId="7" fillId="0" borderId="15" xfId="0" applyNumberFormat="1" applyFont="1" applyBorder="1"/>
    <xf numFmtId="0" fontId="7" fillId="0" borderId="0" xfId="0" applyFont="1" applyFill="1" applyBorder="1"/>
    <xf numFmtId="6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169" fontId="7" fillId="0" borderId="0" xfId="0" applyNumberFormat="1" applyFont="1" applyBorder="1"/>
    <xf numFmtId="169" fontId="7" fillId="0" borderId="0" xfId="0" applyNumberFormat="1" applyFont="1" applyAlignment="1"/>
    <xf numFmtId="0" fontId="1" fillId="6" borderId="2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6" fontId="0" fillId="6" borderId="19" xfId="0" applyNumberFormat="1" applyFill="1" applyBorder="1"/>
    <xf numFmtId="6" fontId="0" fillId="6" borderId="15" xfId="0" applyNumberFormat="1" applyFill="1" applyBorder="1" applyAlignment="1">
      <alignment horizontal="right"/>
    </xf>
    <xf numFmtId="6" fontId="0" fillId="6" borderId="26" xfId="0" applyNumberFormat="1" applyFill="1" applyBorder="1"/>
    <xf numFmtId="6" fontId="0" fillId="6" borderId="16" xfId="0" applyNumberFormat="1" applyFill="1" applyBorder="1" applyAlignment="1">
      <alignment horizontal="right"/>
    </xf>
    <xf numFmtId="6" fontId="1" fillId="6" borderId="20" xfId="0" applyNumberFormat="1" applyFont="1" applyFill="1" applyBorder="1"/>
    <xf numFmtId="6" fontId="1" fillId="6" borderId="14" xfId="0" applyNumberFormat="1" applyFont="1" applyFill="1" applyBorder="1" applyAlignment="1">
      <alignment horizontal="right"/>
    </xf>
    <xf numFmtId="6" fontId="0" fillId="0" borderId="16" xfId="0" applyNumberFormat="1" applyBorder="1"/>
    <xf numFmtId="170" fontId="7" fillId="0" borderId="23" xfId="0" applyNumberFormat="1" applyFont="1" applyBorder="1"/>
    <xf numFmtId="170" fontId="7" fillId="0" borderId="0" xfId="0" applyNumberFormat="1" applyFont="1"/>
    <xf numFmtId="171" fontId="7" fillId="0" borderId="0" xfId="0" applyNumberFormat="1" applyFont="1" applyAlignment="1">
      <alignment horizontal="center"/>
    </xf>
    <xf numFmtId="170" fontId="7" fillId="0" borderId="15" xfId="0" applyNumberFormat="1" applyFont="1" applyBorder="1"/>
    <xf numFmtId="40" fontId="7" fillId="0" borderId="1" xfId="0" applyNumberFormat="1" applyFont="1" applyBorder="1" applyAlignment="1">
      <alignment horizontal="center"/>
    </xf>
    <xf numFmtId="170" fontId="7" fillId="0" borderId="14" xfId="0" applyNumberFormat="1" applyFont="1" applyBorder="1"/>
    <xf numFmtId="170" fontId="7" fillId="0" borderId="1" xfId="0" applyNumberFormat="1" applyFont="1" applyBorder="1"/>
    <xf numFmtId="40" fontId="10" fillId="0" borderId="0" xfId="0" applyNumberFormat="1" applyFont="1" applyAlignment="1">
      <alignment horizontal="center"/>
    </xf>
    <xf numFmtId="40" fontId="10" fillId="0" borderId="1" xfId="0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6" fillId="0" borderId="0" xfId="0" quotePrefix="1" applyFont="1"/>
    <xf numFmtId="172" fontId="6" fillId="0" borderId="0" xfId="0" quotePrefix="1" applyNumberFormat="1" applyFont="1"/>
    <xf numFmtId="172" fontId="7" fillId="0" borderId="0" xfId="0" applyNumberFormat="1" applyFont="1"/>
    <xf numFmtId="0" fontId="6" fillId="2" borderId="0" xfId="0" applyFont="1" applyFill="1"/>
    <xf numFmtId="172" fontId="6" fillId="2" borderId="0" xfId="0" applyNumberFormat="1" applyFont="1" applyFill="1"/>
    <xf numFmtId="0" fontId="7" fillId="0" borderId="24" xfId="0" applyFont="1" applyBorder="1"/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6" fontId="7" fillId="0" borderId="19" xfId="0" applyNumberFormat="1" applyFont="1" applyBorder="1" applyAlignment="1">
      <alignment horizontal="right"/>
    </xf>
    <xf numFmtId="6" fontId="7" fillId="4" borderId="19" xfId="0" applyNumberFormat="1" applyFont="1" applyFill="1" applyBorder="1"/>
    <xf numFmtId="6" fontId="7" fillId="4" borderId="15" xfId="0" applyNumberFormat="1" applyFont="1" applyFill="1" applyBorder="1" applyAlignment="1">
      <alignment horizontal="right"/>
    </xf>
    <xf numFmtId="0" fontId="7" fillId="0" borderId="19" xfId="0" applyFont="1" applyFill="1" applyBorder="1"/>
    <xf numFmtId="0" fontId="7" fillId="0" borderId="26" xfId="0" applyFont="1" applyBorder="1"/>
    <xf numFmtId="6" fontId="7" fillId="0" borderId="26" xfId="0" applyNumberFormat="1" applyFont="1" applyBorder="1" applyAlignment="1">
      <alignment horizontal="right"/>
    </xf>
    <xf numFmtId="6" fontId="7" fillId="0" borderId="16" xfId="0" applyNumberFormat="1" applyFont="1" applyBorder="1"/>
    <xf numFmtId="6" fontId="7" fillId="4" borderId="26" xfId="0" applyNumberFormat="1" applyFont="1" applyFill="1" applyBorder="1"/>
    <xf numFmtId="6" fontId="7" fillId="4" borderId="16" xfId="0" applyNumberFormat="1" applyFont="1" applyFill="1" applyBorder="1" applyAlignment="1">
      <alignment horizontal="right"/>
    </xf>
    <xf numFmtId="0" fontId="6" fillId="0" borderId="20" xfId="0" applyFont="1" applyBorder="1"/>
    <xf numFmtId="6" fontId="6" fillId="0" borderId="20" xfId="0" applyNumberFormat="1" applyFont="1" applyBorder="1" applyAlignment="1">
      <alignment horizontal="right"/>
    </xf>
    <xf numFmtId="6" fontId="6" fillId="0" borderId="14" xfId="0" applyNumberFormat="1" applyFont="1" applyFill="1" applyBorder="1"/>
    <xf numFmtId="6" fontId="6" fillId="4" borderId="20" xfId="0" applyNumberFormat="1" applyFont="1" applyFill="1" applyBorder="1"/>
    <xf numFmtId="6" fontId="6" fillId="4" borderId="14" xfId="0" applyNumberFormat="1" applyFont="1" applyFill="1" applyBorder="1" applyAlignment="1">
      <alignment horizontal="right"/>
    </xf>
    <xf numFmtId="6" fontId="6" fillId="0" borderId="20" xfId="0" applyNumberFormat="1" applyFont="1" applyBorder="1"/>
    <xf numFmtId="6" fontId="6" fillId="0" borderId="14" xfId="0" applyNumberFormat="1" applyFont="1" applyFill="1" applyBorder="1" applyAlignment="1">
      <alignment horizontal="right"/>
    </xf>
    <xf numFmtId="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indent="1"/>
    </xf>
    <xf numFmtId="0" fontId="6" fillId="5" borderId="2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6" fontId="7" fillId="5" borderId="19" xfId="0" applyNumberFormat="1" applyFont="1" applyFill="1" applyBorder="1"/>
    <xf numFmtId="6" fontId="7" fillId="5" borderId="15" xfId="0" applyNumberFormat="1" applyFont="1" applyFill="1" applyBorder="1" applyAlignment="1">
      <alignment horizontal="right"/>
    </xf>
    <xf numFmtId="6" fontId="7" fillId="5" borderId="26" xfId="0" applyNumberFormat="1" applyFont="1" applyFill="1" applyBorder="1"/>
    <xf numFmtId="6" fontId="7" fillId="5" borderId="16" xfId="0" applyNumberFormat="1" applyFont="1" applyFill="1" applyBorder="1" applyAlignment="1">
      <alignment horizontal="right"/>
    </xf>
    <xf numFmtId="6" fontId="6" fillId="5" borderId="20" xfId="0" applyNumberFormat="1" applyFont="1" applyFill="1" applyBorder="1"/>
    <xf numFmtId="6" fontId="6" fillId="5" borderId="14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wrapText="1"/>
    </xf>
    <xf numFmtId="166" fontId="6" fillId="8" borderId="3" xfId="0" applyNumberFormat="1" applyFont="1" applyFill="1" applyBorder="1"/>
    <xf numFmtId="166" fontId="6" fillId="4" borderId="3" xfId="0" applyNumberFormat="1" applyFont="1" applyFill="1" applyBorder="1"/>
    <xf numFmtId="166" fontId="6" fillId="5" borderId="3" xfId="0" applyNumberFormat="1" applyFont="1" applyFill="1" applyBorder="1"/>
    <xf numFmtId="166" fontId="6" fillId="6" borderId="3" xfId="0" applyNumberFormat="1" applyFont="1" applyFill="1" applyBorder="1"/>
    <xf numFmtId="0" fontId="6" fillId="0" borderId="3" xfId="0" applyFont="1" applyBorder="1"/>
    <xf numFmtId="14" fontId="1" fillId="0" borderId="19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1" fillId="6" borderId="19" xfId="0" applyNumberFormat="1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6" fontId="1" fillId="6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4" borderId="19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4" fontId="1" fillId="5" borderId="19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6" fontId="1" fillId="0" borderId="24" xfId="0" applyNumberFormat="1" applyFont="1" applyBorder="1" applyAlignment="1">
      <alignment horizontal="center"/>
    </xf>
    <xf numFmtId="6" fontId="1" fillId="0" borderId="23" xfId="0" applyNumberFormat="1" applyFont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40" fontId="6" fillId="2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40" fontId="6" fillId="4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6" fontId="6" fillId="0" borderId="24" xfId="0" applyNumberFormat="1" applyFont="1" applyBorder="1" applyAlignment="1">
      <alignment horizontal="center"/>
    </xf>
    <xf numFmtId="6" fontId="6" fillId="0" borderId="23" xfId="0" applyNumberFormat="1" applyFont="1" applyBorder="1" applyAlignment="1">
      <alignment horizontal="center"/>
    </xf>
    <xf numFmtId="14" fontId="6" fillId="4" borderId="19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0" fontId="6" fillId="5" borderId="0" xfId="0" applyNumberFormat="1" applyFont="1" applyFill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14" fontId="6" fillId="5" borderId="19" xfId="0" applyNumberFormat="1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6" fontId="7" fillId="0" borderId="10" xfId="0" applyNumberFormat="1" applyFont="1" applyBorder="1"/>
    <xf numFmtId="0" fontId="7" fillId="0" borderId="9" xfId="0" applyFont="1" applyBorder="1" applyAlignment="1">
      <alignment horizontal="center" vertical="center"/>
    </xf>
    <xf numFmtId="169" fontId="7" fillId="0" borderId="10" xfId="0" applyNumberFormat="1" applyFont="1" applyBorder="1"/>
    <xf numFmtId="0" fontId="7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Fill="1" applyBorder="1"/>
    <xf numFmtId="169" fontId="7" fillId="0" borderId="5" xfId="0" applyNumberFormat="1" applyFont="1" applyBorder="1"/>
    <xf numFmtId="6" fontId="7" fillId="0" borderId="6" xfId="0" applyNumberFormat="1" applyFont="1" applyBorder="1"/>
  </cellXfs>
  <cellStyles count="2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33DC4-1B99-4006-83AE-389D4728D8CA}">
  <dimension ref="A1:Y45"/>
  <sheetViews>
    <sheetView showGridLines="0" topLeftCell="A9" workbookViewId="0">
      <pane xSplit="1" topLeftCell="B1" activePane="topRight" state="frozen"/>
      <selection pane="topRight" activeCell="C13" sqref="C13"/>
    </sheetView>
  </sheetViews>
  <sheetFormatPr defaultRowHeight="15" x14ac:dyDescent="0.25"/>
  <cols>
    <col min="1" max="1" width="36" bestFit="1" customWidth="1"/>
    <col min="2" max="2" width="10.28515625" bestFit="1" customWidth="1"/>
    <col min="3" max="3" width="10.140625" bestFit="1" customWidth="1"/>
    <col min="4" max="5" width="9" bestFit="1" customWidth="1"/>
    <col min="6" max="6" width="12.42578125" style="39" bestFit="1" customWidth="1"/>
    <col min="7" max="7" width="10.140625" bestFit="1" customWidth="1"/>
    <col min="8" max="8" width="9" bestFit="1" customWidth="1"/>
    <col min="9" max="9" width="10.7109375" style="49" bestFit="1" customWidth="1"/>
    <col min="10" max="10" width="10.7109375" customWidth="1"/>
    <col min="11" max="11" width="10.7109375" style="44" customWidth="1"/>
    <col min="12" max="13" width="10.7109375" customWidth="1"/>
    <col min="14" max="14" width="10.7109375" style="49" customWidth="1"/>
    <col min="15" max="15" width="10.7109375" customWidth="1"/>
    <col min="17" max="17" width="39.7109375" style="64" bestFit="1" customWidth="1"/>
    <col min="18" max="18" width="10.7109375" bestFit="1" customWidth="1"/>
    <col min="19" max="19" width="4.28515625" customWidth="1"/>
    <col min="20" max="20" width="42.28515625" bestFit="1" customWidth="1"/>
    <col min="21" max="21" width="10.5703125" bestFit="1" customWidth="1"/>
    <col min="22" max="22" width="1.5703125" customWidth="1"/>
    <col min="23" max="23" width="26.28515625" bestFit="1" customWidth="1"/>
    <col min="24" max="24" width="10.140625" bestFit="1" customWidth="1"/>
  </cols>
  <sheetData>
    <row r="1" spans="1:25" x14ac:dyDescent="0.25">
      <c r="A1" s="245" t="s">
        <v>36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Q1" s="235" t="s">
        <v>113</v>
      </c>
      <c r="R1" s="236"/>
      <c r="T1" s="235" t="s">
        <v>95</v>
      </c>
      <c r="U1" s="241"/>
      <c r="V1" s="241"/>
      <c r="W1" s="241"/>
      <c r="X1" s="236"/>
    </row>
    <row r="2" spans="1:25" x14ac:dyDescent="0.25">
      <c r="A2" s="18"/>
      <c r="B2" s="248" t="s">
        <v>96</v>
      </c>
      <c r="C2" s="249"/>
      <c r="D2" s="256" t="s">
        <v>94</v>
      </c>
      <c r="E2" s="257"/>
      <c r="F2" s="248" t="s">
        <v>37</v>
      </c>
      <c r="G2" s="249"/>
      <c r="H2" s="250" t="s">
        <v>38</v>
      </c>
      <c r="I2" s="251"/>
      <c r="J2" s="252" t="s">
        <v>39</v>
      </c>
      <c r="K2" s="253"/>
      <c r="L2" s="254" t="s">
        <v>40</v>
      </c>
      <c r="M2" s="255"/>
      <c r="N2" s="252" t="s">
        <v>15</v>
      </c>
      <c r="O2" s="253"/>
      <c r="Q2" s="242" t="s">
        <v>64</v>
      </c>
      <c r="R2" s="243"/>
      <c r="T2" s="242" t="s">
        <v>64</v>
      </c>
      <c r="U2" s="244"/>
      <c r="V2" s="244"/>
      <c r="W2" s="244"/>
      <c r="X2" s="243"/>
    </row>
    <row r="3" spans="1:25" x14ac:dyDescent="0.25">
      <c r="A3" s="3"/>
      <c r="B3" s="230">
        <v>43831</v>
      </c>
      <c r="C3" s="231"/>
      <c r="D3" s="232" t="s">
        <v>97</v>
      </c>
      <c r="E3" s="233"/>
      <c r="F3" s="230">
        <v>44196</v>
      </c>
      <c r="G3" s="231"/>
      <c r="H3" s="237">
        <v>44196</v>
      </c>
      <c r="I3" s="238"/>
      <c r="J3" s="230">
        <v>44196</v>
      </c>
      <c r="K3" s="231"/>
      <c r="L3" s="239">
        <v>44196</v>
      </c>
      <c r="M3" s="240"/>
      <c r="N3" s="230">
        <v>44196</v>
      </c>
      <c r="O3" s="231"/>
      <c r="Q3" s="1" t="str">
        <f>A17</f>
        <v>Sales</v>
      </c>
      <c r="R3" s="83">
        <f>VLOOKUP(Q3,$A$17:$O$26,11,FALSE)</f>
        <v>180000</v>
      </c>
      <c r="S3" s="61"/>
      <c r="T3" s="67" t="s">
        <v>49</v>
      </c>
      <c r="U3" s="68"/>
      <c r="V3" s="69"/>
      <c r="W3" s="60" t="s">
        <v>50</v>
      </c>
      <c r="X3" s="70"/>
    </row>
    <row r="4" spans="1:25" s="61" customFormat="1" x14ac:dyDescent="0.25">
      <c r="A4" s="25" t="s">
        <v>3</v>
      </c>
      <c r="B4" s="26" t="s">
        <v>8</v>
      </c>
      <c r="C4" s="27" t="s">
        <v>9</v>
      </c>
      <c r="D4" s="161" t="s">
        <v>6</v>
      </c>
      <c r="E4" s="162" t="s">
        <v>7</v>
      </c>
      <c r="F4" s="26" t="s">
        <v>8</v>
      </c>
      <c r="G4" s="27" t="s">
        <v>9</v>
      </c>
      <c r="H4" s="28" t="s">
        <v>6</v>
      </c>
      <c r="I4" s="29" t="s">
        <v>7</v>
      </c>
      <c r="J4" s="26" t="s">
        <v>8</v>
      </c>
      <c r="K4" s="30" t="s">
        <v>9</v>
      </c>
      <c r="L4" s="31" t="s">
        <v>6</v>
      </c>
      <c r="M4" s="32" t="s">
        <v>7</v>
      </c>
      <c r="N4" s="26" t="s">
        <v>8</v>
      </c>
      <c r="O4" s="30" t="s">
        <v>9</v>
      </c>
      <c r="Q4" s="1" t="str">
        <f>A18</f>
        <v>Cost of goods sold</v>
      </c>
      <c r="R4" s="83">
        <f>-VLOOKUP(Q4,$A$17:$O$26,10,FALSE)</f>
        <v>-110000</v>
      </c>
      <c r="S4"/>
      <c r="T4" s="72" t="s">
        <v>51</v>
      </c>
      <c r="U4" s="87"/>
      <c r="V4" s="73"/>
      <c r="W4" s="88" t="s">
        <v>52</v>
      </c>
      <c r="X4" s="66"/>
    </row>
    <row r="5" spans="1:25" x14ac:dyDescent="0.25">
      <c r="A5" s="3" t="s">
        <v>41</v>
      </c>
      <c r="B5" s="41"/>
      <c r="C5" s="6"/>
      <c r="D5" s="163">
        <v>20000</v>
      </c>
      <c r="E5" s="164"/>
      <c r="F5" s="41">
        <f>IF(B5+D5&gt;C5+E5,B5-C5+D5-E5,0)</f>
        <v>20000</v>
      </c>
      <c r="G5" s="5">
        <f t="shared" ref="G5:G26" si="0">IF(B5+D5&gt;C5+E5,0,C5-B5+E5-D5)</f>
        <v>0</v>
      </c>
      <c r="H5" s="8"/>
      <c r="I5" s="46"/>
      <c r="J5" s="41">
        <f>IF(F5+H5&gt;G5+I5,F5-G5+H5-I5,0)</f>
        <v>20000</v>
      </c>
      <c r="K5" s="5">
        <f t="shared" ref="K5:K26" si="1">IF(F5+H5&gt;G5+I5,0,G5-F5+I5-H5)</f>
        <v>0</v>
      </c>
      <c r="L5" s="10"/>
      <c r="M5" s="11"/>
      <c r="N5" s="41">
        <f>IF(J5+L5&gt;K5+M5,J5-K5+L5-M5,0)</f>
        <v>20000</v>
      </c>
      <c r="O5" s="9">
        <f>IF(J5+L5&gt;K5+M5,0,K5-J5+M5-L5)</f>
        <v>0</v>
      </c>
      <c r="P5" s="62"/>
      <c r="Q5" s="1" t="str">
        <f>A19</f>
        <v>Salaries and wages expense</v>
      </c>
      <c r="R5" s="83">
        <f>-VLOOKUP(Q5,$A$17:$O$26,10,FALSE)</f>
        <v>-15000</v>
      </c>
      <c r="T5" s="1" t="str">
        <f>A5</f>
        <v>Equipment</v>
      </c>
      <c r="U5" s="9">
        <f>N5</f>
        <v>20000</v>
      </c>
      <c r="V5" s="6"/>
      <c r="W5" s="2" t="str">
        <f>A11</f>
        <v>Share capital</v>
      </c>
      <c r="X5" s="83">
        <f>O11</f>
        <v>50000</v>
      </c>
    </row>
    <row r="6" spans="1:25" x14ac:dyDescent="0.25">
      <c r="A6" s="63" t="s">
        <v>42</v>
      </c>
      <c r="B6" s="41"/>
      <c r="C6" s="5"/>
      <c r="D6" s="163"/>
      <c r="E6" s="164"/>
      <c r="F6" s="41">
        <f t="shared" ref="F6:F26" si="2">IF(B6+D6&gt;C6+E6,B6-C6+D6-E6,0)</f>
        <v>0</v>
      </c>
      <c r="G6" s="5">
        <f t="shared" si="0"/>
        <v>0</v>
      </c>
      <c r="H6" s="8"/>
      <c r="I6" s="46">
        <f>H22</f>
        <v>1875</v>
      </c>
      <c r="J6" s="41">
        <f t="shared" ref="J6:J26" si="3">IF(F6+H6&gt;G6+I6,F6-G6+H6-I6,0)</f>
        <v>0</v>
      </c>
      <c r="K6" s="5">
        <f t="shared" si="1"/>
        <v>1875</v>
      </c>
      <c r="L6" s="10"/>
      <c r="M6" s="11"/>
      <c r="N6" s="41">
        <f t="shared" ref="N6:N26" si="4">IF(J6+L6&gt;K6+M6,J6-K6+L6-M6,0)</f>
        <v>0</v>
      </c>
      <c r="O6" s="9">
        <f t="shared" ref="O6:O26" si="5">IF(J6+L6&gt;K6+M6,0,K6-J6+M6-L6)</f>
        <v>1875</v>
      </c>
      <c r="P6" s="62"/>
      <c r="Q6" s="1" t="str">
        <f>A20</f>
        <v>Insurance expenses</v>
      </c>
      <c r="R6" s="83">
        <f>-VLOOKUP(Q6,$A$17:$O$26,10,FALSE)</f>
        <v>-1500</v>
      </c>
      <c r="T6" s="1" t="str">
        <f>"Minus:"&amp;A6</f>
        <v>Minus:Accumulated depreciation: equipment</v>
      </c>
      <c r="U6" s="35">
        <f>-O6</f>
        <v>-1875</v>
      </c>
      <c r="V6" s="6"/>
      <c r="W6" s="2" t="str">
        <f>A12</f>
        <v>Retained earnings</v>
      </c>
      <c r="X6" s="84">
        <f>O12</f>
        <v>36455</v>
      </c>
    </row>
    <row r="7" spans="1:25" x14ac:dyDescent="0.25">
      <c r="A7" s="63" t="s">
        <v>99</v>
      </c>
      <c r="B7" s="41"/>
      <c r="C7" s="6"/>
      <c r="D7" s="163">
        <v>160000</v>
      </c>
      <c r="E7" s="164"/>
      <c r="F7" s="41">
        <f t="shared" si="2"/>
        <v>160000</v>
      </c>
      <c r="G7" s="5">
        <f t="shared" si="0"/>
        <v>0</v>
      </c>
      <c r="H7" s="8">
        <v>50000</v>
      </c>
      <c r="I7" s="46">
        <f>F7</f>
        <v>160000</v>
      </c>
      <c r="J7" s="41">
        <f t="shared" si="3"/>
        <v>50000</v>
      </c>
      <c r="K7" s="5">
        <f t="shared" si="1"/>
        <v>0</v>
      </c>
      <c r="L7" s="10"/>
      <c r="M7" s="11"/>
      <c r="N7" s="41">
        <f t="shared" si="4"/>
        <v>50000</v>
      </c>
      <c r="O7" s="9">
        <f t="shared" si="5"/>
        <v>0</v>
      </c>
      <c r="P7" s="62"/>
      <c r="Q7" s="1" t="str">
        <f>A22</f>
        <v>Depreciation expenses</v>
      </c>
      <c r="R7" s="83">
        <f t="shared" ref="R7:R9" si="6">-VLOOKUP(Q7,$A$17:$O$26,10,FALSE)</f>
        <v>-1875</v>
      </c>
      <c r="T7" s="72" t="s">
        <v>53</v>
      </c>
      <c r="U7" s="85">
        <f>SUM(U5:U6)</f>
        <v>18125</v>
      </c>
      <c r="V7" s="73"/>
      <c r="W7" s="88" t="s">
        <v>54</v>
      </c>
      <c r="X7" s="89">
        <f>SUM(X5:X6)</f>
        <v>86455</v>
      </c>
    </row>
    <row r="8" spans="1:25" x14ac:dyDescent="0.25">
      <c r="A8" s="63" t="s">
        <v>10</v>
      </c>
      <c r="B8" s="41"/>
      <c r="C8" s="6"/>
      <c r="D8" s="163"/>
      <c r="E8" s="164"/>
      <c r="F8" s="41">
        <f t="shared" si="2"/>
        <v>0</v>
      </c>
      <c r="G8" s="5">
        <f t="shared" si="0"/>
        <v>0</v>
      </c>
      <c r="H8" s="8"/>
      <c r="I8" s="46"/>
      <c r="J8" s="41">
        <f t="shared" si="3"/>
        <v>0</v>
      </c>
      <c r="K8" s="5">
        <f t="shared" si="1"/>
        <v>0</v>
      </c>
      <c r="L8" s="10"/>
      <c r="M8" s="11"/>
      <c r="N8" s="41">
        <f t="shared" si="4"/>
        <v>0</v>
      </c>
      <c r="O8" s="9">
        <f t="shared" si="5"/>
        <v>0</v>
      </c>
      <c r="P8" s="62"/>
      <c r="Q8" s="1" t="str">
        <f>A23</f>
        <v>Utilities expenses</v>
      </c>
      <c r="R8" s="83">
        <f t="shared" si="6"/>
        <v>-3000</v>
      </c>
      <c r="T8" s="1"/>
      <c r="U8" s="87"/>
      <c r="V8" s="73"/>
      <c r="W8" s="2"/>
      <c r="X8" s="74"/>
    </row>
    <row r="9" spans="1:25" x14ac:dyDescent="0.25">
      <c r="A9" s="63" t="s">
        <v>102</v>
      </c>
      <c r="B9" s="41"/>
      <c r="C9" s="6"/>
      <c r="D9" s="163"/>
      <c r="E9" s="164"/>
      <c r="F9" s="41">
        <f t="shared" si="2"/>
        <v>0</v>
      </c>
      <c r="G9" s="5">
        <f t="shared" si="0"/>
        <v>0</v>
      </c>
      <c r="H9" s="8">
        <f>I24</f>
        <v>1500</v>
      </c>
      <c r="I9" s="46"/>
      <c r="J9" s="41">
        <f t="shared" si="3"/>
        <v>1500</v>
      </c>
      <c r="K9" s="5">
        <f t="shared" si="1"/>
        <v>0</v>
      </c>
      <c r="L9" s="10"/>
      <c r="M9" s="11"/>
      <c r="N9" s="41">
        <f t="shared" si="4"/>
        <v>1500</v>
      </c>
      <c r="O9" s="9">
        <f t="shared" si="5"/>
        <v>0</v>
      </c>
      <c r="P9" s="62"/>
      <c r="Q9" s="71" t="str">
        <f>A24</f>
        <v>Rent expenses</v>
      </c>
      <c r="R9" s="84">
        <f t="shared" si="6"/>
        <v>-6000</v>
      </c>
      <c r="T9" s="1"/>
      <c r="V9" s="73"/>
      <c r="W9" s="88" t="s">
        <v>57</v>
      </c>
      <c r="X9" s="89">
        <v>0</v>
      </c>
    </row>
    <row r="10" spans="1:25" x14ac:dyDescent="0.25">
      <c r="A10" s="3" t="s">
        <v>34</v>
      </c>
      <c r="B10" s="41"/>
      <c r="C10" s="5"/>
      <c r="D10" s="163">
        <f>E11+E13+E17</f>
        <v>280000</v>
      </c>
      <c r="E10" s="164">
        <f>D5+(D7-10000)+D19+D20+(D23-500)+D24</f>
        <v>196500</v>
      </c>
      <c r="F10" s="41">
        <f t="shared" si="2"/>
        <v>83500</v>
      </c>
      <c r="G10" s="5">
        <f t="shared" si="0"/>
        <v>0</v>
      </c>
      <c r="H10" s="8"/>
      <c r="I10" s="46"/>
      <c r="J10" s="41">
        <f t="shared" si="3"/>
        <v>83500</v>
      </c>
      <c r="K10" s="5">
        <f t="shared" si="1"/>
        <v>0</v>
      </c>
      <c r="L10" s="10"/>
      <c r="M10" s="11"/>
      <c r="N10" s="41">
        <f t="shared" si="4"/>
        <v>83500</v>
      </c>
      <c r="O10" s="9">
        <f t="shared" si="5"/>
        <v>0</v>
      </c>
      <c r="P10" s="62"/>
      <c r="Q10" s="72" t="s">
        <v>56</v>
      </c>
      <c r="R10" s="74">
        <f>SUM(R3:R9)</f>
        <v>42625</v>
      </c>
      <c r="T10" s="1"/>
      <c r="V10" s="73"/>
      <c r="W10" s="2"/>
      <c r="X10" s="66"/>
    </row>
    <row r="11" spans="1:25" x14ac:dyDescent="0.25">
      <c r="A11" s="3" t="s">
        <v>5</v>
      </c>
      <c r="B11" s="41"/>
      <c r="C11" s="5"/>
      <c r="D11" s="163"/>
      <c r="E11" s="164">
        <v>50000</v>
      </c>
      <c r="F11" s="41">
        <f t="shared" si="2"/>
        <v>0</v>
      </c>
      <c r="G11" s="5">
        <f t="shared" si="0"/>
        <v>50000</v>
      </c>
      <c r="H11" s="8"/>
      <c r="I11" s="46"/>
      <c r="J11" s="41">
        <f t="shared" si="3"/>
        <v>0</v>
      </c>
      <c r="K11" s="5">
        <f t="shared" si="1"/>
        <v>50000</v>
      </c>
      <c r="L11" s="10"/>
      <c r="M11" s="11"/>
      <c r="N11" s="41">
        <f t="shared" si="4"/>
        <v>0</v>
      </c>
      <c r="O11" s="9">
        <f t="shared" si="5"/>
        <v>50000</v>
      </c>
      <c r="P11" s="62"/>
      <c r="Q11" s="71" t="str">
        <f>A21</f>
        <v>Interest expenses</v>
      </c>
      <c r="R11" s="84">
        <f>-VLOOKUP(Q11,$A$17:$O$26,10,FALSE)</f>
        <v>-3000</v>
      </c>
      <c r="T11" s="72" t="s">
        <v>55</v>
      </c>
      <c r="U11" s="87"/>
      <c r="V11" s="73"/>
      <c r="W11" s="88" t="s">
        <v>60</v>
      </c>
      <c r="X11" s="66"/>
    </row>
    <row r="12" spans="1:25" x14ac:dyDescent="0.25">
      <c r="A12" s="3" t="s">
        <v>12</v>
      </c>
      <c r="B12" s="41"/>
      <c r="C12" s="5"/>
      <c r="D12" s="163"/>
      <c r="E12" s="164"/>
      <c r="F12" s="41">
        <f t="shared" si="2"/>
        <v>0</v>
      </c>
      <c r="G12" s="5">
        <f t="shared" si="0"/>
        <v>0</v>
      </c>
      <c r="H12" s="8"/>
      <c r="I12" s="46"/>
      <c r="J12" s="41">
        <f t="shared" si="3"/>
        <v>0</v>
      </c>
      <c r="K12" s="5">
        <f t="shared" si="1"/>
        <v>0</v>
      </c>
      <c r="L12" s="10"/>
      <c r="M12" s="11">
        <f>R14</f>
        <v>36455</v>
      </c>
      <c r="N12" s="41">
        <f t="shared" si="4"/>
        <v>0</v>
      </c>
      <c r="O12" s="9">
        <f t="shared" si="5"/>
        <v>36455</v>
      </c>
      <c r="P12" s="62"/>
      <c r="Q12" s="72" t="s">
        <v>58</v>
      </c>
      <c r="R12" s="74">
        <f>R10+R11</f>
        <v>39625</v>
      </c>
      <c r="T12" s="1" t="str">
        <f>A7</f>
        <v>Inventory</v>
      </c>
      <c r="U12" s="9">
        <f>N7</f>
        <v>50000</v>
      </c>
      <c r="V12" s="73"/>
      <c r="W12" s="2" t="str">
        <f>A13</f>
        <v>Bank loan</v>
      </c>
      <c r="X12" s="83">
        <f>O13</f>
        <v>53000</v>
      </c>
      <c r="Y12" s="49" t="s">
        <v>66</v>
      </c>
    </row>
    <row r="13" spans="1:25" x14ac:dyDescent="0.25">
      <c r="A13" s="3" t="s">
        <v>98</v>
      </c>
      <c r="B13" s="41"/>
      <c r="C13" s="5"/>
      <c r="D13" s="163"/>
      <c r="E13" s="164">
        <v>50000</v>
      </c>
      <c r="F13" s="41">
        <f t="shared" si="2"/>
        <v>0</v>
      </c>
      <c r="G13" s="5">
        <f t="shared" si="0"/>
        <v>50000</v>
      </c>
      <c r="H13" s="8"/>
      <c r="I13" s="46">
        <f>G13*8%*9/12</f>
        <v>3000</v>
      </c>
      <c r="J13" s="41">
        <f t="shared" si="3"/>
        <v>0</v>
      </c>
      <c r="K13" s="5">
        <f t="shared" si="1"/>
        <v>53000</v>
      </c>
      <c r="L13" s="10"/>
      <c r="M13" s="11"/>
      <c r="N13" s="41">
        <f t="shared" si="4"/>
        <v>0</v>
      </c>
      <c r="O13" s="9">
        <f t="shared" si="5"/>
        <v>53000</v>
      </c>
      <c r="P13" s="62"/>
      <c r="Q13" s="71" t="str">
        <f>A25</f>
        <v>Income Tax</v>
      </c>
      <c r="R13" s="84">
        <f>-VLOOKUP(Q13,$A$17:$O$26,12,FALSE)</f>
        <v>-3170</v>
      </c>
      <c r="T13" s="1" t="str">
        <f>A8</f>
        <v>Accounts receivable</v>
      </c>
      <c r="U13" s="9">
        <f>N8</f>
        <v>0</v>
      </c>
      <c r="V13" s="73"/>
      <c r="W13" s="2" t="str">
        <f t="shared" ref="W13:W14" si="7">A14</f>
        <v>Suppliers</v>
      </c>
      <c r="X13" s="83">
        <f t="shared" ref="X13:X14" si="8">O14</f>
        <v>10000</v>
      </c>
      <c r="Y13" s="49" t="s">
        <v>67</v>
      </c>
    </row>
    <row r="14" spans="1:25" ht="15.75" thickBot="1" x14ac:dyDescent="0.3">
      <c r="A14" s="63" t="s">
        <v>103</v>
      </c>
      <c r="B14" s="41"/>
      <c r="C14" s="5"/>
      <c r="D14" s="163"/>
      <c r="E14" s="164">
        <v>10000</v>
      </c>
      <c r="F14" s="41">
        <f t="shared" si="2"/>
        <v>0</v>
      </c>
      <c r="G14" s="5">
        <f t="shared" si="0"/>
        <v>10000</v>
      </c>
      <c r="H14" s="8"/>
      <c r="I14" s="46"/>
      <c r="J14" s="41">
        <f t="shared" si="3"/>
        <v>0</v>
      </c>
      <c r="K14" s="5">
        <f t="shared" si="1"/>
        <v>10000</v>
      </c>
      <c r="L14" s="10"/>
      <c r="M14" s="11"/>
      <c r="N14" s="41">
        <f t="shared" ref="N14" si="9">IF(J14+L14&gt;K14+M14,J14-K14+L14-M14,0)</f>
        <v>0</v>
      </c>
      <c r="O14" s="9">
        <f t="shared" ref="O14" si="10">IF(J14+L14&gt;K14+M14,0,K14-J14+M14-L14)</f>
        <v>10000</v>
      </c>
      <c r="P14" s="62"/>
      <c r="Q14" s="75" t="s">
        <v>1</v>
      </c>
      <c r="R14" s="76">
        <f>R12+R13</f>
        <v>36455</v>
      </c>
      <c r="T14" s="1" t="str">
        <f>A9</f>
        <v>Prepaid rent</v>
      </c>
      <c r="U14" s="9">
        <f>N9</f>
        <v>1500</v>
      </c>
      <c r="V14" s="73"/>
      <c r="W14" s="2" t="str">
        <f t="shared" si="7"/>
        <v>Utilities payable</v>
      </c>
      <c r="X14" s="83">
        <f t="shared" si="8"/>
        <v>500</v>
      </c>
      <c r="Y14" s="49" t="s">
        <v>68</v>
      </c>
    </row>
    <row r="15" spans="1:25" x14ac:dyDescent="0.25">
      <c r="A15" s="3" t="s">
        <v>104</v>
      </c>
      <c r="B15" s="41"/>
      <c r="C15" s="5"/>
      <c r="D15" s="163"/>
      <c r="E15" s="164">
        <v>500</v>
      </c>
      <c r="F15" s="41">
        <f t="shared" si="2"/>
        <v>0</v>
      </c>
      <c r="G15" s="5">
        <f t="shared" si="0"/>
        <v>500</v>
      </c>
      <c r="H15" s="8"/>
      <c r="I15" s="46"/>
      <c r="J15" s="41">
        <f t="shared" si="3"/>
        <v>0</v>
      </c>
      <c r="K15" s="5">
        <f t="shared" si="1"/>
        <v>500</v>
      </c>
      <c r="L15" s="10"/>
      <c r="M15" s="11"/>
      <c r="N15" s="41">
        <f t="shared" si="4"/>
        <v>0</v>
      </c>
      <c r="O15" s="9">
        <f t="shared" si="5"/>
        <v>500</v>
      </c>
      <c r="P15" s="62"/>
      <c r="T15" s="1" t="str">
        <f>A10</f>
        <v>Cash</v>
      </c>
      <c r="U15" s="35">
        <f>N10</f>
        <v>83500</v>
      </c>
      <c r="V15" s="73"/>
      <c r="W15" s="2" t="str">
        <f>A16</f>
        <v>Taxes payable</v>
      </c>
      <c r="X15" s="84">
        <f>O16</f>
        <v>3170</v>
      </c>
    </row>
    <row r="16" spans="1:25" x14ac:dyDescent="0.25">
      <c r="A16" s="63" t="s">
        <v>11</v>
      </c>
      <c r="B16" s="41"/>
      <c r="C16" s="5"/>
      <c r="D16" s="163"/>
      <c r="E16" s="164"/>
      <c r="F16" s="41">
        <f t="shared" si="2"/>
        <v>0</v>
      </c>
      <c r="G16" s="5">
        <f t="shared" si="0"/>
        <v>0</v>
      </c>
      <c r="H16" s="8"/>
      <c r="I16" s="46"/>
      <c r="J16" s="41">
        <f t="shared" si="3"/>
        <v>0</v>
      </c>
      <c r="K16" s="5">
        <f t="shared" si="1"/>
        <v>0</v>
      </c>
      <c r="L16" s="10"/>
      <c r="M16" s="11">
        <f>L25</f>
        <v>3170</v>
      </c>
      <c r="N16" s="41">
        <f>IF(J16+L16&gt;K16+M16,J16-K16+L16-M16,0)</f>
        <v>0</v>
      </c>
      <c r="O16" s="9">
        <f>IF(J16+L16&gt;K16+M16,0,K16-J16+M16-L16)</f>
        <v>3170</v>
      </c>
      <c r="P16" s="62"/>
      <c r="T16" s="72" t="s">
        <v>59</v>
      </c>
      <c r="U16" s="85">
        <f>SUM(U12:U15)</f>
        <v>135000</v>
      </c>
      <c r="V16" s="73"/>
      <c r="W16" s="88" t="s">
        <v>61</v>
      </c>
      <c r="X16" s="89">
        <f>SUM(X12:X15)</f>
        <v>66670</v>
      </c>
    </row>
    <row r="17" spans="1:24" x14ac:dyDescent="0.25">
      <c r="A17" s="63" t="s">
        <v>14</v>
      </c>
      <c r="B17" s="41"/>
      <c r="C17" s="5"/>
      <c r="D17" s="163"/>
      <c r="E17" s="164">
        <v>180000</v>
      </c>
      <c r="F17" s="41">
        <f t="shared" si="2"/>
        <v>0</v>
      </c>
      <c r="G17" s="5">
        <f t="shared" si="0"/>
        <v>180000</v>
      </c>
      <c r="H17" s="8"/>
      <c r="I17" s="46"/>
      <c r="J17" s="41">
        <f t="shared" si="3"/>
        <v>0</v>
      </c>
      <c r="K17" s="5">
        <f t="shared" si="1"/>
        <v>180000</v>
      </c>
      <c r="L17" s="10">
        <f>K17</f>
        <v>180000</v>
      </c>
      <c r="M17" s="11"/>
      <c r="N17" s="41">
        <f t="shared" si="4"/>
        <v>0</v>
      </c>
      <c r="O17" s="9">
        <f t="shared" si="5"/>
        <v>0</v>
      </c>
      <c r="P17" s="62"/>
      <c r="T17" s="1"/>
      <c r="U17" s="87"/>
      <c r="V17" s="73"/>
      <c r="W17" s="2"/>
      <c r="X17" s="66"/>
    </row>
    <row r="18" spans="1:24" ht="15.75" thickBot="1" x14ac:dyDescent="0.3">
      <c r="A18" s="63" t="s">
        <v>101</v>
      </c>
      <c r="B18" s="41"/>
      <c r="C18" s="6"/>
      <c r="D18" s="163"/>
      <c r="E18" s="164"/>
      <c r="F18" s="41">
        <f>IF(B18+D18&gt;C18+E18,B18-C18+D18-E18,0)</f>
        <v>0</v>
      </c>
      <c r="G18" s="5">
        <f>IF(B18+D18&gt;C18+E18,0,C18-B18+E18-D18)</f>
        <v>0</v>
      </c>
      <c r="H18" s="8">
        <f>I7+I14</f>
        <v>160000</v>
      </c>
      <c r="I18" s="46">
        <f>H7</f>
        <v>50000</v>
      </c>
      <c r="J18" s="41">
        <f>IF(F18+H18&gt;G18+I18,F18-G18+H18-I18,0)</f>
        <v>110000</v>
      </c>
      <c r="K18" s="5">
        <f>IF(F18+H18&gt;G18+I18,0,G18-F18+I18-H18)</f>
        <v>0</v>
      </c>
      <c r="L18" s="10"/>
      <c r="M18" s="11">
        <f>J18</f>
        <v>110000</v>
      </c>
      <c r="N18" s="41">
        <f>IF(J18+L18&gt;K18+M18,J18-K18+L18-M18,0)</f>
        <v>0</v>
      </c>
      <c r="O18" s="9">
        <f>IF(J18+L18&gt;K18+M18,0,K18-J18+M18-L18)</f>
        <v>0</v>
      </c>
      <c r="P18" s="62"/>
      <c r="T18" s="77" t="s">
        <v>62</v>
      </c>
      <c r="U18" s="86">
        <f>U7+U16</f>
        <v>153125</v>
      </c>
      <c r="V18" s="73"/>
      <c r="W18" s="90" t="s">
        <v>63</v>
      </c>
      <c r="X18" s="91">
        <f>X7+X9+X16</f>
        <v>153125</v>
      </c>
    </row>
    <row r="19" spans="1:24" ht="16.5" thickTop="1" thickBot="1" x14ac:dyDescent="0.3">
      <c r="A19" s="63" t="s">
        <v>43</v>
      </c>
      <c r="B19" s="41"/>
      <c r="C19" s="6"/>
      <c r="D19" s="163">
        <v>15000</v>
      </c>
      <c r="E19" s="164"/>
      <c r="F19" s="41">
        <f t="shared" si="2"/>
        <v>15000</v>
      </c>
      <c r="G19" s="5">
        <f t="shared" si="0"/>
        <v>0</v>
      </c>
      <c r="H19" s="8"/>
      <c r="I19" s="46"/>
      <c r="J19" s="41">
        <f t="shared" si="3"/>
        <v>15000</v>
      </c>
      <c r="K19" s="5">
        <f t="shared" si="1"/>
        <v>0</v>
      </c>
      <c r="L19" s="10"/>
      <c r="M19" s="11">
        <f t="shared" ref="M19:M24" si="11">J19</f>
        <v>15000</v>
      </c>
      <c r="N19" s="41">
        <f t="shared" ref="N19" si="12">IF(J19+L19&gt;K19+M19,J19-K19+L19-M19,0)</f>
        <v>0</v>
      </c>
      <c r="O19" s="9">
        <f t="shared" ref="O19" si="13">IF(J19+L19&gt;K19+M19,0,K19-J19+M19-L19)</f>
        <v>0</v>
      </c>
      <c r="P19" s="62"/>
      <c r="T19" s="78"/>
      <c r="U19" s="79"/>
      <c r="V19" s="80"/>
      <c r="W19" s="81"/>
      <c r="X19" s="82"/>
    </row>
    <row r="20" spans="1:24" x14ac:dyDescent="0.25">
      <c r="A20" s="63" t="s">
        <v>44</v>
      </c>
      <c r="B20" s="41"/>
      <c r="C20" s="6"/>
      <c r="D20" s="163">
        <v>1500</v>
      </c>
      <c r="E20" s="164"/>
      <c r="F20" s="41">
        <f t="shared" si="2"/>
        <v>1500</v>
      </c>
      <c r="G20" s="5">
        <f t="shared" si="0"/>
        <v>0</v>
      </c>
      <c r="H20" s="8"/>
      <c r="I20" s="46"/>
      <c r="J20" s="41">
        <f t="shared" si="3"/>
        <v>1500</v>
      </c>
      <c r="K20" s="5">
        <f t="shared" si="1"/>
        <v>0</v>
      </c>
      <c r="L20" s="10"/>
      <c r="M20" s="11">
        <f t="shared" si="11"/>
        <v>1500</v>
      </c>
      <c r="N20" s="41">
        <f t="shared" si="4"/>
        <v>0</v>
      </c>
      <c r="O20" s="9">
        <f t="shared" si="5"/>
        <v>0</v>
      </c>
      <c r="P20" s="62"/>
    </row>
    <row r="21" spans="1:24" x14ac:dyDescent="0.25">
      <c r="A21" s="63" t="s">
        <v>45</v>
      </c>
      <c r="B21" s="41"/>
      <c r="C21" s="6"/>
      <c r="D21" s="163"/>
      <c r="E21" s="164"/>
      <c r="F21" s="41">
        <f t="shared" si="2"/>
        <v>0</v>
      </c>
      <c r="G21" s="5">
        <f t="shared" si="0"/>
        <v>0</v>
      </c>
      <c r="H21" s="8">
        <f>I13</f>
        <v>3000</v>
      </c>
      <c r="I21" s="46"/>
      <c r="J21" s="41">
        <f t="shared" si="3"/>
        <v>3000</v>
      </c>
      <c r="K21" s="5">
        <f t="shared" si="1"/>
        <v>0</v>
      </c>
      <c r="L21" s="10"/>
      <c r="M21" s="11">
        <f t="shared" si="11"/>
        <v>3000</v>
      </c>
      <c r="N21" s="41">
        <f t="shared" si="4"/>
        <v>0</v>
      </c>
      <c r="O21" s="9">
        <f t="shared" si="5"/>
        <v>0</v>
      </c>
      <c r="P21" s="62"/>
    </row>
    <row r="22" spans="1:24" x14ac:dyDescent="0.25">
      <c r="A22" s="63" t="s">
        <v>46</v>
      </c>
      <c r="B22" s="41"/>
      <c r="C22" s="6"/>
      <c r="D22" s="163"/>
      <c r="E22" s="164"/>
      <c r="F22" s="41">
        <f t="shared" si="2"/>
        <v>0</v>
      </c>
      <c r="G22" s="5">
        <f t="shared" si="0"/>
        <v>0</v>
      </c>
      <c r="H22" s="8">
        <f>((F5-0)/8)*9/12</f>
        <v>1875</v>
      </c>
      <c r="I22" s="46"/>
      <c r="J22" s="41">
        <f t="shared" si="3"/>
        <v>1875</v>
      </c>
      <c r="K22" s="5">
        <f t="shared" si="1"/>
        <v>0</v>
      </c>
      <c r="L22" s="10"/>
      <c r="M22" s="11">
        <f t="shared" si="11"/>
        <v>1875</v>
      </c>
      <c r="N22" s="41">
        <f t="shared" si="4"/>
        <v>0</v>
      </c>
      <c r="O22" s="9">
        <f t="shared" si="5"/>
        <v>0</v>
      </c>
      <c r="P22" s="62"/>
    </row>
    <row r="23" spans="1:24" x14ac:dyDescent="0.25">
      <c r="A23" s="63" t="s">
        <v>100</v>
      </c>
      <c r="B23" s="41"/>
      <c r="C23" s="6"/>
      <c r="D23" s="163">
        <v>3000</v>
      </c>
      <c r="E23" s="164"/>
      <c r="F23" s="41">
        <f t="shared" si="2"/>
        <v>3000</v>
      </c>
      <c r="G23" s="5">
        <f t="shared" si="0"/>
        <v>0</v>
      </c>
      <c r="H23" s="8"/>
      <c r="I23" s="46"/>
      <c r="J23" s="41">
        <f t="shared" si="3"/>
        <v>3000</v>
      </c>
      <c r="K23" s="5">
        <f t="shared" si="1"/>
        <v>0</v>
      </c>
      <c r="L23" s="10"/>
      <c r="M23" s="11">
        <f t="shared" si="11"/>
        <v>3000</v>
      </c>
      <c r="N23" s="41">
        <f t="shared" si="4"/>
        <v>0</v>
      </c>
      <c r="O23" s="9">
        <f t="shared" si="5"/>
        <v>0</v>
      </c>
      <c r="P23" s="62"/>
    </row>
    <row r="24" spans="1:24" x14ac:dyDescent="0.25">
      <c r="A24" s="63" t="s">
        <v>47</v>
      </c>
      <c r="B24" s="41"/>
      <c r="C24" s="6"/>
      <c r="D24" s="163">
        <v>7500</v>
      </c>
      <c r="E24" s="164"/>
      <c r="F24" s="41">
        <f t="shared" si="2"/>
        <v>7500</v>
      </c>
      <c r="G24" s="5">
        <f t="shared" si="0"/>
        <v>0</v>
      </c>
      <c r="H24" s="8"/>
      <c r="I24" s="46">
        <f>3*500</f>
        <v>1500</v>
      </c>
      <c r="J24" s="41">
        <f t="shared" si="3"/>
        <v>6000</v>
      </c>
      <c r="K24" s="5">
        <f t="shared" si="1"/>
        <v>0</v>
      </c>
      <c r="L24" s="10"/>
      <c r="M24" s="11">
        <f t="shared" si="11"/>
        <v>6000</v>
      </c>
      <c r="N24" s="41">
        <f>IF(J24+L24&gt;K24+M24,J24-K24+L24-M24,0)</f>
        <v>0</v>
      </c>
      <c r="O24" s="9">
        <f>IF(J24+L24&gt;K24+M24,0,K24-J24+M24-L24)</f>
        <v>0</v>
      </c>
      <c r="P24" s="62"/>
    </row>
    <row r="25" spans="1:24" x14ac:dyDescent="0.25">
      <c r="A25" s="63" t="s">
        <v>48</v>
      </c>
      <c r="B25" s="41"/>
      <c r="C25" s="6"/>
      <c r="D25" s="163"/>
      <c r="E25" s="164"/>
      <c r="F25" s="41">
        <f t="shared" si="2"/>
        <v>0</v>
      </c>
      <c r="G25" s="5">
        <f t="shared" si="0"/>
        <v>0</v>
      </c>
      <c r="H25" s="8"/>
      <c r="I25" s="46"/>
      <c r="J25" s="41">
        <f t="shared" si="3"/>
        <v>0</v>
      </c>
      <c r="K25" s="5">
        <f t="shared" si="1"/>
        <v>0</v>
      </c>
      <c r="L25" s="10">
        <f>G42</f>
        <v>3170</v>
      </c>
      <c r="M25" s="11">
        <f>L25</f>
        <v>3170</v>
      </c>
      <c r="N25" s="41">
        <f>IF(J25+L25&gt;K25+M25,J25-K25+L25-M25,0)</f>
        <v>0</v>
      </c>
      <c r="O25" s="9">
        <f>IF(J25+L25&gt;K25+M25,0,K25-J25+M25-L25)</f>
        <v>0</v>
      </c>
      <c r="P25" s="62"/>
    </row>
    <row r="26" spans="1:24" ht="15.75" thickBot="1" x14ac:dyDescent="0.3">
      <c r="A26" s="19" t="s">
        <v>1</v>
      </c>
      <c r="B26" s="42"/>
      <c r="C26" s="13"/>
      <c r="D26" s="165"/>
      <c r="E26" s="166"/>
      <c r="F26" s="42">
        <f t="shared" si="2"/>
        <v>0</v>
      </c>
      <c r="G26" s="169">
        <f t="shared" si="0"/>
        <v>0</v>
      </c>
      <c r="H26" s="14"/>
      <c r="I26" s="47"/>
      <c r="J26" s="42">
        <f t="shared" si="3"/>
        <v>0</v>
      </c>
      <c r="K26" s="169">
        <f t="shared" si="1"/>
        <v>0</v>
      </c>
      <c r="L26" s="16">
        <f>SUM(M18:M25)+R14</f>
        <v>180000</v>
      </c>
      <c r="M26" s="17">
        <f>L17</f>
        <v>180000</v>
      </c>
      <c r="N26" s="42">
        <f t="shared" si="4"/>
        <v>0</v>
      </c>
      <c r="O26" s="15">
        <f t="shared" si="5"/>
        <v>0</v>
      </c>
      <c r="P26" s="62"/>
    </row>
    <row r="27" spans="1:24" ht="15.75" thickTop="1" x14ac:dyDescent="0.25">
      <c r="A27" s="4" t="s">
        <v>4</v>
      </c>
      <c r="B27" s="43">
        <f t="shared" ref="B27:O27" si="14">SUM(B5:B26)</f>
        <v>0</v>
      </c>
      <c r="C27" s="21">
        <f t="shared" si="14"/>
        <v>0</v>
      </c>
      <c r="D27" s="167">
        <f t="shared" si="14"/>
        <v>487000</v>
      </c>
      <c r="E27" s="168">
        <f t="shared" si="14"/>
        <v>487000</v>
      </c>
      <c r="F27" s="43">
        <f t="shared" si="14"/>
        <v>290500</v>
      </c>
      <c r="G27" s="21">
        <f t="shared" si="14"/>
        <v>290500</v>
      </c>
      <c r="H27" s="22">
        <f t="shared" si="14"/>
        <v>216375</v>
      </c>
      <c r="I27" s="48">
        <f t="shared" si="14"/>
        <v>216375</v>
      </c>
      <c r="J27" s="20">
        <f t="shared" si="14"/>
        <v>295375</v>
      </c>
      <c r="K27" s="45">
        <f t="shared" si="14"/>
        <v>295375</v>
      </c>
      <c r="L27" s="23">
        <f t="shared" si="14"/>
        <v>363170</v>
      </c>
      <c r="M27" s="24">
        <f t="shared" si="14"/>
        <v>363170</v>
      </c>
      <c r="N27" s="43">
        <f t="shared" si="14"/>
        <v>155000</v>
      </c>
      <c r="O27" s="21">
        <f t="shared" si="14"/>
        <v>155000</v>
      </c>
      <c r="P27" s="62"/>
    </row>
    <row r="30" spans="1:24" x14ac:dyDescent="0.25">
      <c r="F30" s="234" t="str">
        <f>A26</f>
        <v>Net Income</v>
      </c>
      <c r="G30" s="234"/>
      <c r="H30" s="234"/>
      <c r="I30" s="234"/>
      <c r="O30" s="33"/>
    </row>
    <row r="31" spans="1:24" x14ac:dyDescent="0.25">
      <c r="G31" s="9"/>
      <c r="H31" s="37">
        <f>G26</f>
        <v>0</v>
      </c>
      <c r="I31" s="38">
        <v>43831</v>
      </c>
    </row>
    <row r="32" spans="1:24" x14ac:dyDescent="0.25">
      <c r="G32" s="9"/>
      <c r="H32" s="7">
        <f>L17</f>
        <v>180000</v>
      </c>
      <c r="I32" s="49" t="s">
        <v>14</v>
      </c>
    </row>
    <row r="33" spans="6:9" x14ac:dyDescent="0.25">
      <c r="F33" s="57" t="s">
        <v>2</v>
      </c>
      <c r="G33" s="9">
        <f>M18</f>
        <v>110000</v>
      </c>
      <c r="H33" s="7"/>
      <c r="I33" s="58"/>
    </row>
    <row r="34" spans="6:9" x14ac:dyDescent="0.25">
      <c r="F34" s="39" t="s">
        <v>105</v>
      </c>
      <c r="G34" s="9">
        <f>M19</f>
        <v>15000</v>
      </c>
      <c r="H34" s="7"/>
    </row>
    <row r="35" spans="6:9" x14ac:dyDescent="0.25">
      <c r="F35" s="57" t="s">
        <v>106</v>
      </c>
      <c r="G35" s="9">
        <f>M20</f>
        <v>1500</v>
      </c>
      <c r="H35" s="65"/>
      <c r="I35" s="58"/>
    </row>
    <row r="36" spans="6:9" x14ac:dyDescent="0.25">
      <c r="F36" s="57" t="s">
        <v>107</v>
      </c>
      <c r="G36" s="9">
        <f>M22</f>
        <v>1875</v>
      </c>
      <c r="H36" s="65"/>
      <c r="I36" s="58"/>
    </row>
    <row r="37" spans="6:9" x14ac:dyDescent="0.25">
      <c r="F37" s="57" t="s">
        <v>108</v>
      </c>
      <c r="G37" s="9">
        <f>M23</f>
        <v>3000</v>
      </c>
      <c r="H37" s="7"/>
    </row>
    <row r="38" spans="6:9" x14ac:dyDescent="0.25">
      <c r="F38" s="51" t="s">
        <v>109</v>
      </c>
      <c r="G38" s="35">
        <f>M24</f>
        <v>6000</v>
      </c>
      <c r="H38" s="36"/>
      <c r="I38" s="34"/>
    </row>
    <row r="39" spans="6:9" x14ac:dyDescent="0.25">
      <c r="F39" s="59" t="s">
        <v>16</v>
      </c>
      <c r="G39" s="56">
        <f>IF(SUM(H31:H38)-SUM(G31:G38)&lt;0,-SUM(H31:H38)+SUM(G31:G38),0)</f>
        <v>0</v>
      </c>
      <c r="H39" s="52">
        <f>IF(SUM(H31:H38)-SUM(G31:G38)&gt;0,SUM(H31:H38)-SUM(G31:G38),0)</f>
        <v>42625</v>
      </c>
      <c r="I39" s="53"/>
    </row>
    <row r="40" spans="6:9" x14ac:dyDescent="0.25">
      <c r="F40" s="51" t="s">
        <v>110</v>
      </c>
      <c r="G40" s="35">
        <f>M21</f>
        <v>3000</v>
      </c>
      <c r="H40" s="54"/>
      <c r="I40" s="55"/>
    </row>
    <row r="41" spans="6:9" x14ac:dyDescent="0.25">
      <c r="F41" s="59" t="s">
        <v>17</v>
      </c>
      <c r="G41" s="56">
        <f>IF(SUM(H39:H40)-SUM(G39:G40)&lt;0,-SUM(H39:H40)+SUM(G39:G40),0)</f>
        <v>0</v>
      </c>
      <c r="H41" s="52">
        <f>IF(SUM(H39:H40)-SUM(G39:G40)&gt;0,SUM(H39:H40)-SUM(G39:G40),0)</f>
        <v>39625</v>
      </c>
      <c r="I41" s="53"/>
    </row>
    <row r="42" spans="6:9" x14ac:dyDescent="0.25">
      <c r="F42" s="51" t="s">
        <v>111</v>
      </c>
      <c r="G42" s="35">
        <f>H41*8%</f>
        <v>3170</v>
      </c>
      <c r="H42" s="54"/>
      <c r="I42" s="55"/>
    </row>
    <row r="43" spans="6:9" x14ac:dyDescent="0.25">
      <c r="F43" s="59" t="s">
        <v>1</v>
      </c>
      <c r="G43" s="56">
        <f>IF(SUM(H41:H42)-SUM(G41:G42)&lt;0,-SUM(H41:H42)+SUM(G41:G42),0)</f>
        <v>0</v>
      </c>
      <c r="H43" s="52">
        <f>IF(SUM(H41:H42)-SUM(G41:G42)&gt;0,SUM(H41:H42)-SUM(G41:G42),0)</f>
        <v>36455</v>
      </c>
      <c r="I43" s="53"/>
    </row>
    <row r="44" spans="6:9" ht="15.75" thickBot="1" x14ac:dyDescent="0.3">
      <c r="F44" s="40" t="s">
        <v>112</v>
      </c>
      <c r="G44" s="15">
        <v>0</v>
      </c>
      <c r="H44" s="12"/>
      <c r="I44" s="50"/>
    </row>
    <row r="45" spans="6:9" ht="15.75" thickTop="1" x14ac:dyDescent="0.25">
      <c r="G45" s="56"/>
      <c r="H45" s="52">
        <f>SUM(H43:H44)-SUM(G43:G44)</f>
        <v>36455</v>
      </c>
      <c r="I45" s="38">
        <v>44196</v>
      </c>
    </row>
  </sheetData>
  <mergeCells count="20">
    <mergeCell ref="T1:X1"/>
    <mergeCell ref="Q2:R2"/>
    <mergeCell ref="T2:X2"/>
    <mergeCell ref="A1:O1"/>
    <mergeCell ref="F2:G2"/>
    <mergeCell ref="H2:I2"/>
    <mergeCell ref="J2:K2"/>
    <mergeCell ref="L2:M2"/>
    <mergeCell ref="N2:O2"/>
    <mergeCell ref="B2:C2"/>
    <mergeCell ref="D2:E2"/>
    <mergeCell ref="B3:C3"/>
    <mergeCell ref="D3:E3"/>
    <mergeCell ref="F30:I30"/>
    <mergeCell ref="Q1:R1"/>
    <mergeCell ref="F3:G3"/>
    <mergeCell ref="H3:I3"/>
    <mergeCell ref="J3:K3"/>
    <mergeCell ref="L3:M3"/>
    <mergeCell ref="N3:O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77853-E897-48E4-82FD-AC2BD993883D}">
  <dimension ref="A1:U75"/>
  <sheetViews>
    <sheetView showGridLines="0" topLeftCell="A19" workbookViewId="0">
      <selection activeCell="C20" sqref="C20"/>
    </sheetView>
  </sheetViews>
  <sheetFormatPr defaultRowHeight="15.75" x14ac:dyDescent="0.25"/>
  <cols>
    <col min="1" max="1" width="40.7109375" style="92" bestFit="1" customWidth="1"/>
    <col min="2" max="2" width="11.5703125" style="210" customWidth="1"/>
    <col min="3" max="7" width="11.5703125" style="92" customWidth="1"/>
    <col min="8" max="8" width="9.140625" style="92"/>
    <col min="9" max="9" width="37.42578125" style="92" customWidth="1"/>
    <col min="10" max="11" width="14.5703125" style="183" bestFit="1" customWidth="1"/>
    <col min="12" max="12" width="9.140625" style="92"/>
    <col min="13" max="13" width="25.7109375" style="145" bestFit="1" customWidth="1"/>
    <col min="14" max="14" width="15" style="171" bestFit="1" customWidth="1"/>
    <col min="15" max="15" width="14" style="171" customWidth="1"/>
    <col min="16" max="16" width="25.7109375" style="145" bestFit="1" customWidth="1"/>
    <col min="17" max="17" width="2.7109375" style="150" customWidth="1"/>
    <col min="18" max="18" width="25.7109375" style="145" bestFit="1" customWidth="1"/>
    <col min="19" max="19" width="14" style="171" bestFit="1" customWidth="1"/>
    <col min="20" max="20" width="13" style="171" customWidth="1"/>
    <col min="21" max="21" width="25.7109375" style="145" bestFit="1" customWidth="1"/>
    <col min="22" max="16384" width="9.140625" style="92"/>
  </cols>
  <sheetData>
    <row r="1" spans="1:21" x14ac:dyDescent="0.25">
      <c r="B1" s="92"/>
      <c r="I1" s="260" t="s">
        <v>150</v>
      </c>
      <c r="J1" s="260"/>
      <c r="K1" s="260"/>
      <c r="M1" s="261" t="s">
        <v>151</v>
      </c>
      <c r="N1" s="261"/>
      <c r="O1" s="261"/>
      <c r="P1" s="261"/>
      <c r="Q1" s="261"/>
      <c r="R1" s="261"/>
      <c r="S1" s="261"/>
      <c r="T1" s="261"/>
      <c r="U1" s="261"/>
    </row>
    <row r="2" spans="1:21" x14ac:dyDescent="0.25">
      <c r="A2" s="186"/>
      <c r="B2" s="265" t="s">
        <v>37</v>
      </c>
      <c r="C2" s="266"/>
      <c r="D2" s="263" t="s">
        <v>38</v>
      </c>
      <c r="E2" s="264"/>
      <c r="F2" s="271" t="s">
        <v>39</v>
      </c>
      <c r="G2" s="272"/>
      <c r="I2" s="97"/>
      <c r="J2" s="180" t="s">
        <v>129</v>
      </c>
      <c r="K2" s="180" t="s">
        <v>130</v>
      </c>
      <c r="M2" s="259" t="s">
        <v>126</v>
      </c>
      <c r="N2" s="259"/>
      <c r="O2" s="259"/>
      <c r="P2" s="259"/>
      <c r="Q2" s="259"/>
      <c r="R2" s="259"/>
      <c r="S2" s="259"/>
      <c r="T2" s="259"/>
      <c r="U2" s="259"/>
    </row>
    <row r="3" spans="1:21" x14ac:dyDescent="0.25">
      <c r="A3" s="187"/>
      <c r="B3" s="269">
        <v>44196</v>
      </c>
      <c r="C3" s="270"/>
      <c r="D3" s="267">
        <v>44196</v>
      </c>
      <c r="E3" s="268"/>
      <c r="F3" s="269">
        <v>44196</v>
      </c>
      <c r="G3" s="270"/>
      <c r="I3" s="181" t="s">
        <v>131</v>
      </c>
      <c r="J3" s="182"/>
      <c r="K3" s="182"/>
      <c r="M3" s="258" t="str">
        <f>A9</f>
        <v>Land</v>
      </c>
      <c r="N3" s="258"/>
      <c r="O3" s="258"/>
      <c r="P3" s="258"/>
      <c r="R3" s="258" t="str">
        <f>A10</f>
        <v>Buildings</v>
      </c>
      <c r="S3" s="258"/>
      <c r="T3" s="258"/>
      <c r="U3" s="258"/>
    </row>
    <row r="4" spans="1:21" x14ac:dyDescent="0.25">
      <c r="A4" s="188" t="s">
        <v>3</v>
      </c>
      <c r="B4" s="189" t="s">
        <v>8</v>
      </c>
      <c r="C4" s="190" t="s">
        <v>9</v>
      </c>
      <c r="D4" s="191" t="s">
        <v>6</v>
      </c>
      <c r="E4" s="192" t="s">
        <v>7</v>
      </c>
      <c r="F4" s="189" t="s">
        <v>8</v>
      </c>
      <c r="G4" s="193" t="s">
        <v>9</v>
      </c>
      <c r="I4" s="92" t="s">
        <v>132</v>
      </c>
      <c r="J4" s="183">
        <f>(B10-0)/40</f>
        <v>1500</v>
      </c>
      <c r="M4" s="145" t="s">
        <v>154</v>
      </c>
      <c r="N4" s="170">
        <f>B9</f>
        <v>175000</v>
      </c>
      <c r="R4" s="145" t="s">
        <v>154</v>
      </c>
      <c r="S4" s="170">
        <f>B10</f>
        <v>60000</v>
      </c>
    </row>
    <row r="5" spans="1:21" x14ac:dyDescent="0.25">
      <c r="A5" s="187" t="s">
        <v>34</v>
      </c>
      <c r="B5" s="194">
        <v>7500</v>
      </c>
      <c r="C5" s="153"/>
      <c r="D5" s="195">
        <f t="shared" ref="D5:D29" si="0">SUMIF($I$4:$I$32,$A5,J$4:J$32)</f>
        <v>0</v>
      </c>
      <c r="E5" s="196">
        <f t="shared" ref="E5:E29" si="1">SUMIF($I$4:$I$32,$A5,K$4:K$32)</f>
        <v>0</v>
      </c>
      <c r="F5" s="194">
        <f>IF(B5+D5&gt;C5+E5,B5-C5+D5-E5,0)</f>
        <v>7500</v>
      </c>
      <c r="G5" s="153">
        <f t="shared" ref="G5:G25" si="2">IF(B5+D5&gt;C5+E5,0,C5-B5+E5-D5)</f>
        <v>0</v>
      </c>
      <c r="I5" s="211" t="s">
        <v>118</v>
      </c>
      <c r="K5" s="183">
        <f>J4</f>
        <v>1500</v>
      </c>
      <c r="M5" s="172"/>
      <c r="N5" s="173"/>
      <c r="R5" s="172"/>
      <c r="S5" s="173"/>
    </row>
    <row r="6" spans="1:21" x14ac:dyDescent="0.25">
      <c r="A6" s="197" t="s">
        <v>10</v>
      </c>
      <c r="B6" s="194">
        <v>6500</v>
      </c>
      <c r="C6" s="153"/>
      <c r="D6" s="195">
        <f t="shared" si="0"/>
        <v>590</v>
      </c>
      <c r="E6" s="196">
        <f t="shared" si="1"/>
        <v>0</v>
      </c>
      <c r="F6" s="194">
        <f t="shared" ref="F6:F25" si="3">IF(B6+D6&gt;C6+E6,B6-C6+D6-E6,0)</f>
        <v>7090</v>
      </c>
      <c r="G6" s="153">
        <f t="shared" si="2"/>
        <v>0</v>
      </c>
      <c r="I6" s="262" t="s">
        <v>133</v>
      </c>
      <c r="J6" s="262"/>
      <c r="K6" s="262"/>
      <c r="M6" s="174"/>
      <c r="N6" s="175"/>
      <c r="O6" s="176"/>
      <c r="P6" s="174"/>
      <c r="R6" s="174"/>
      <c r="S6" s="175"/>
      <c r="T6" s="176"/>
      <c r="U6" s="174"/>
    </row>
    <row r="7" spans="1:21" x14ac:dyDescent="0.25">
      <c r="A7" s="197" t="s">
        <v>114</v>
      </c>
      <c r="B7" s="194"/>
      <c r="C7" s="153">
        <v>550</v>
      </c>
      <c r="D7" s="195">
        <f t="shared" si="0"/>
        <v>0</v>
      </c>
      <c r="E7" s="196">
        <f t="shared" si="1"/>
        <v>159</v>
      </c>
      <c r="F7" s="194">
        <f t="shared" si="3"/>
        <v>0</v>
      </c>
      <c r="G7" s="153">
        <f t="shared" si="2"/>
        <v>709</v>
      </c>
      <c r="I7" s="181" t="s">
        <v>134</v>
      </c>
      <c r="J7" s="182"/>
      <c r="K7" s="182"/>
      <c r="M7" s="145" t="s">
        <v>155</v>
      </c>
      <c r="N7" s="173">
        <f>SUM(N4:N6)-SUM(O4:O6)</f>
        <v>175000</v>
      </c>
      <c r="R7" s="145" t="s">
        <v>155</v>
      </c>
      <c r="S7" s="173">
        <f>SUM(S4:S6)-SUM(T4:T6)</f>
        <v>60000</v>
      </c>
    </row>
    <row r="8" spans="1:21" x14ac:dyDescent="0.25">
      <c r="A8" s="197" t="s">
        <v>115</v>
      </c>
      <c r="B8" s="194">
        <v>4500</v>
      </c>
      <c r="C8" s="153"/>
      <c r="D8" s="195">
        <f t="shared" si="0"/>
        <v>0</v>
      </c>
      <c r="E8" s="196">
        <f t="shared" si="1"/>
        <v>1750</v>
      </c>
      <c r="F8" s="194">
        <f t="shared" si="3"/>
        <v>2750</v>
      </c>
      <c r="G8" s="153">
        <f t="shared" si="2"/>
        <v>0</v>
      </c>
      <c r="I8" s="92" t="s">
        <v>132</v>
      </c>
      <c r="J8" s="183">
        <f>(B12-0)*15%</f>
        <v>11250</v>
      </c>
    </row>
    <row r="9" spans="1:21" x14ac:dyDescent="0.25">
      <c r="A9" s="197" t="s">
        <v>116</v>
      </c>
      <c r="B9" s="194">
        <v>175000</v>
      </c>
      <c r="C9" s="153"/>
      <c r="D9" s="195">
        <f t="shared" si="0"/>
        <v>0</v>
      </c>
      <c r="E9" s="196">
        <f t="shared" si="1"/>
        <v>0</v>
      </c>
      <c r="F9" s="194">
        <f t="shared" si="3"/>
        <v>175000</v>
      </c>
      <c r="G9" s="153">
        <f t="shared" si="2"/>
        <v>0</v>
      </c>
      <c r="I9" s="211" t="s">
        <v>119</v>
      </c>
      <c r="K9" s="183">
        <f>J8</f>
        <v>11250</v>
      </c>
      <c r="M9" s="258" t="str">
        <f>A12</f>
        <v>Equipment</v>
      </c>
      <c r="N9" s="258"/>
      <c r="O9" s="258"/>
      <c r="P9" s="258"/>
      <c r="R9" s="258" t="str">
        <f>A11</f>
        <v>Accumulated depreciation - Buildings</v>
      </c>
      <c r="S9" s="258"/>
      <c r="T9" s="258"/>
      <c r="U9" s="258"/>
    </row>
    <row r="10" spans="1:21" x14ac:dyDescent="0.25">
      <c r="A10" s="187" t="s">
        <v>117</v>
      </c>
      <c r="B10" s="194">
        <v>60000</v>
      </c>
      <c r="C10" s="153"/>
      <c r="D10" s="195">
        <f t="shared" si="0"/>
        <v>0</v>
      </c>
      <c r="E10" s="196">
        <f t="shared" si="1"/>
        <v>0</v>
      </c>
      <c r="F10" s="194">
        <f t="shared" si="3"/>
        <v>60000</v>
      </c>
      <c r="G10" s="153">
        <f t="shared" si="2"/>
        <v>0</v>
      </c>
      <c r="I10" s="262" t="s">
        <v>135</v>
      </c>
      <c r="J10" s="262"/>
      <c r="K10" s="262"/>
      <c r="M10" s="145" t="s">
        <v>154</v>
      </c>
      <c r="N10" s="170">
        <f>B12</f>
        <v>75000</v>
      </c>
      <c r="R10" s="177"/>
      <c r="S10" s="170"/>
      <c r="T10" s="171">
        <f>C11</f>
        <v>19200</v>
      </c>
      <c r="U10" s="145" t="s">
        <v>154</v>
      </c>
    </row>
    <row r="11" spans="1:21" x14ac:dyDescent="0.25">
      <c r="A11" s="187" t="s">
        <v>118</v>
      </c>
      <c r="B11" s="194"/>
      <c r="C11" s="153">
        <v>19200</v>
      </c>
      <c r="D11" s="195">
        <f t="shared" si="0"/>
        <v>0</v>
      </c>
      <c r="E11" s="196">
        <f t="shared" si="1"/>
        <v>1500</v>
      </c>
      <c r="F11" s="194">
        <f t="shared" si="3"/>
        <v>0</v>
      </c>
      <c r="G11" s="153">
        <f t="shared" si="2"/>
        <v>20700</v>
      </c>
      <c r="I11" s="181" t="s">
        <v>136</v>
      </c>
      <c r="J11" s="182"/>
      <c r="K11" s="182"/>
      <c r="M11" s="172"/>
      <c r="N11" s="173"/>
      <c r="R11" s="172"/>
      <c r="S11" s="173"/>
      <c r="T11" s="171">
        <f>K5</f>
        <v>1500</v>
      </c>
      <c r="U11" s="145" t="s">
        <v>156</v>
      </c>
    </row>
    <row r="12" spans="1:21" x14ac:dyDescent="0.25">
      <c r="A12" s="187" t="s">
        <v>41</v>
      </c>
      <c r="B12" s="194">
        <v>75000</v>
      </c>
      <c r="C12" s="153"/>
      <c r="D12" s="195">
        <f t="shared" si="0"/>
        <v>0</v>
      </c>
      <c r="E12" s="196">
        <f t="shared" si="1"/>
        <v>0</v>
      </c>
      <c r="F12" s="194">
        <f t="shared" si="3"/>
        <v>75000</v>
      </c>
      <c r="G12" s="153">
        <f t="shared" si="2"/>
        <v>0</v>
      </c>
      <c r="I12" s="92" t="s">
        <v>124</v>
      </c>
      <c r="J12" s="183">
        <v>1750</v>
      </c>
      <c r="M12" s="178"/>
      <c r="N12" s="175"/>
      <c r="O12" s="176"/>
      <c r="P12" s="174"/>
      <c r="R12" s="178"/>
      <c r="S12" s="175"/>
      <c r="T12" s="176"/>
      <c r="U12" s="174"/>
    </row>
    <row r="13" spans="1:21" x14ac:dyDescent="0.25">
      <c r="A13" s="187" t="s">
        <v>119</v>
      </c>
      <c r="B13" s="194"/>
      <c r="C13" s="153">
        <v>35000</v>
      </c>
      <c r="D13" s="195">
        <f t="shared" si="0"/>
        <v>0</v>
      </c>
      <c r="E13" s="196">
        <f t="shared" si="1"/>
        <v>11250</v>
      </c>
      <c r="F13" s="194">
        <f t="shared" si="3"/>
        <v>0</v>
      </c>
      <c r="G13" s="153">
        <f t="shared" si="2"/>
        <v>46250</v>
      </c>
      <c r="I13" s="211" t="s">
        <v>115</v>
      </c>
      <c r="K13" s="183">
        <f>J12</f>
        <v>1750</v>
      </c>
      <c r="M13" s="145" t="s">
        <v>155</v>
      </c>
      <c r="N13" s="173">
        <f>SUM(N10:N12)-SUM(O10:O12)</f>
        <v>75000</v>
      </c>
      <c r="R13" s="177"/>
      <c r="S13" s="173"/>
      <c r="T13" s="171">
        <f>SUM(T10:T12)-SUM(S10:S12)</f>
        <v>20700</v>
      </c>
      <c r="U13" s="145" t="s">
        <v>155</v>
      </c>
    </row>
    <row r="14" spans="1:21" x14ac:dyDescent="0.25">
      <c r="A14" s="197" t="s">
        <v>5</v>
      </c>
      <c r="B14" s="194"/>
      <c r="C14" s="153">
        <v>200000</v>
      </c>
      <c r="D14" s="195">
        <f t="shared" si="0"/>
        <v>0</v>
      </c>
      <c r="E14" s="196">
        <f t="shared" si="1"/>
        <v>0</v>
      </c>
      <c r="F14" s="194">
        <f t="shared" si="3"/>
        <v>0</v>
      </c>
      <c r="G14" s="153">
        <f t="shared" si="2"/>
        <v>200000</v>
      </c>
      <c r="I14" s="262" t="s">
        <v>137</v>
      </c>
      <c r="J14" s="262"/>
      <c r="K14" s="262"/>
    </row>
    <row r="15" spans="1:21" x14ac:dyDescent="0.25">
      <c r="A15" s="187" t="s">
        <v>12</v>
      </c>
      <c r="B15" s="194"/>
      <c r="C15" s="153">
        <v>41000</v>
      </c>
      <c r="D15" s="195">
        <f t="shared" si="0"/>
        <v>0</v>
      </c>
      <c r="E15" s="196">
        <f t="shared" si="1"/>
        <v>0</v>
      </c>
      <c r="F15" s="194">
        <f t="shared" si="3"/>
        <v>0</v>
      </c>
      <c r="G15" s="153">
        <f t="shared" si="2"/>
        <v>41000</v>
      </c>
      <c r="I15" s="181" t="s">
        <v>138</v>
      </c>
      <c r="J15" s="182"/>
      <c r="K15" s="182"/>
      <c r="M15" s="258" t="str">
        <f>A13</f>
        <v>Accumulated depreciation - Equipment</v>
      </c>
      <c r="N15" s="258"/>
      <c r="O15" s="258"/>
      <c r="P15" s="258"/>
      <c r="R15" s="258" t="str">
        <f>A8</f>
        <v>Prepaid insurance</v>
      </c>
      <c r="S15" s="258"/>
      <c r="T15" s="258"/>
      <c r="U15" s="258"/>
    </row>
    <row r="16" spans="1:21" x14ac:dyDescent="0.25">
      <c r="A16" s="187" t="s">
        <v>152</v>
      </c>
      <c r="B16" s="194"/>
      <c r="C16" s="153"/>
      <c r="D16" s="195">
        <f t="shared" si="0"/>
        <v>0</v>
      </c>
      <c r="E16" s="196">
        <f t="shared" si="1"/>
        <v>4450</v>
      </c>
      <c r="F16" s="194">
        <f t="shared" si="3"/>
        <v>0</v>
      </c>
      <c r="G16" s="153">
        <f t="shared" si="2"/>
        <v>4450</v>
      </c>
      <c r="I16" s="92" t="s">
        <v>10</v>
      </c>
      <c r="J16" s="183">
        <f>2*C20/10</f>
        <v>590</v>
      </c>
      <c r="M16" s="177"/>
      <c r="N16" s="170"/>
      <c r="O16" s="171">
        <f>C13</f>
        <v>35000</v>
      </c>
      <c r="P16" s="145" t="s">
        <v>154</v>
      </c>
      <c r="R16" s="145" t="s">
        <v>154</v>
      </c>
      <c r="S16" s="170">
        <f>B8</f>
        <v>4500</v>
      </c>
    </row>
    <row r="17" spans="1:21" x14ac:dyDescent="0.25">
      <c r="A17" s="187" t="s">
        <v>125</v>
      </c>
      <c r="B17" s="194"/>
      <c r="C17" s="153"/>
      <c r="D17" s="195">
        <f t="shared" si="0"/>
        <v>0</v>
      </c>
      <c r="E17" s="196">
        <f t="shared" si="1"/>
        <v>1800</v>
      </c>
      <c r="F17" s="194">
        <f t="shared" si="3"/>
        <v>0</v>
      </c>
      <c r="G17" s="153">
        <f t="shared" si="2"/>
        <v>1800</v>
      </c>
      <c r="I17" s="211" t="s">
        <v>120</v>
      </c>
      <c r="K17" s="183">
        <f>J16</f>
        <v>590</v>
      </c>
      <c r="M17" s="172"/>
      <c r="N17" s="173"/>
      <c r="O17" s="171">
        <f>K9</f>
        <v>11250</v>
      </c>
      <c r="P17" s="145" t="s">
        <v>157</v>
      </c>
      <c r="R17" s="172"/>
      <c r="S17" s="173"/>
      <c r="T17" s="171">
        <f>K13</f>
        <v>1750</v>
      </c>
      <c r="U17" s="145" t="s">
        <v>158</v>
      </c>
    </row>
    <row r="18" spans="1:21" x14ac:dyDescent="0.25">
      <c r="A18" s="187" t="s">
        <v>11</v>
      </c>
      <c r="B18" s="194"/>
      <c r="C18" s="153"/>
      <c r="D18" s="195">
        <f t="shared" si="0"/>
        <v>0</v>
      </c>
      <c r="E18" s="196">
        <f t="shared" si="1"/>
        <v>0</v>
      </c>
      <c r="F18" s="194">
        <f t="shared" ref="F18" si="4">IF(B18+D18&gt;C18+E18,B18-C18+D18-E18,0)</f>
        <v>0</v>
      </c>
      <c r="G18" s="153">
        <f t="shared" ref="G18" si="5">IF(B18+D18&gt;C18+E18,0,C18-B18+E18-D18)</f>
        <v>0</v>
      </c>
      <c r="I18" s="262" t="s">
        <v>140</v>
      </c>
      <c r="J18" s="262"/>
      <c r="K18" s="262"/>
      <c r="M18" s="178"/>
      <c r="N18" s="175"/>
      <c r="O18" s="176"/>
      <c r="P18" s="179"/>
      <c r="R18" s="178"/>
      <c r="S18" s="175"/>
      <c r="T18" s="176"/>
      <c r="U18" s="174"/>
    </row>
    <row r="19" spans="1:21" x14ac:dyDescent="0.25">
      <c r="A19" s="197" t="s">
        <v>153</v>
      </c>
      <c r="B19" s="194"/>
      <c r="C19" s="153">
        <v>100000</v>
      </c>
      <c r="D19" s="195">
        <f t="shared" si="0"/>
        <v>4450</v>
      </c>
      <c r="E19" s="196">
        <f t="shared" si="1"/>
        <v>0</v>
      </c>
      <c r="F19" s="194">
        <f>IF(B19+D19&gt;C19+E19,B19-C19+D19-E19,0)</f>
        <v>0</v>
      </c>
      <c r="G19" s="153">
        <f>IF(B19+D19&gt;C19+E19,0,C19-B19+E19-D19)</f>
        <v>95550</v>
      </c>
      <c r="I19" s="262" t="s">
        <v>139</v>
      </c>
      <c r="J19" s="262"/>
      <c r="K19" s="262"/>
      <c r="M19" s="177"/>
      <c r="N19" s="173"/>
      <c r="O19" s="171">
        <f>SUM(O16:O18)-SUM(N16:N18)</f>
        <v>46250</v>
      </c>
      <c r="P19" s="145" t="s">
        <v>155</v>
      </c>
      <c r="R19" s="145" t="s">
        <v>155</v>
      </c>
      <c r="S19" s="173">
        <f>SUM(S16:S18)-SUM(T16:T18)</f>
        <v>2750</v>
      </c>
    </row>
    <row r="20" spans="1:21" x14ac:dyDescent="0.25">
      <c r="A20" s="197" t="s">
        <v>120</v>
      </c>
      <c r="B20" s="194"/>
      <c r="C20" s="153">
        <v>2950</v>
      </c>
      <c r="D20" s="195">
        <f t="shared" si="0"/>
        <v>0</v>
      </c>
      <c r="E20" s="196">
        <f t="shared" si="1"/>
        <v>590</v>
      </c>
      <c r="F20" s="194">
        <f t="shared" si="3"/>
        <v>0</v>
      </c>
      <c r="G20" s="153">
        <f t="shared" si="2"/>
        <v>3540</v>
      </c>
      <c r="I20" s="181" t="s">
        <v>141</v>
      </c>
      <c r="J20" s="182"/>
      <c r="K20" s="182"/>
    </row>
    <row r="21" spans="1:21" x14ac:dyDescent="0.25">
      <c r="A21" s="197" t="s">
        <v>121</v>
      </c>
      <c r="B21" s="194"/>
      <c r="C21" s="153">
        <v>8800</v>
      </c>
      <c r="D21" s="195">
        <f t="shared" si="0"/>
        <v>0</v>
      </c>
      <c r="E21" s="196">
        <f t="shared" si="1"/>
        <v>0</v>
      </c>
      <c r="F21" s="194">
        <f t="shared" si="3"/>
        <v>0</v>
      </c>
      <c r="G21" s="153">
        <f t="shared" si="2"/>
        <v>8800</v>
      </c>
      <c r="I21" s="92" t="s">
        <v>142</v>
      </c>
      <c r="J21" s="183">
        <f>(B6+J16)*10%-C7</f>
        <v>159</v>
      </c>
      <c r="M21" s="258" t="str">
        <f>A5</f>
        <v>Cash</v>
      </c>
      <c r="N21" s="258"/>
      <c r="O21" s="258"/>
      <c r="P21" s="258"/>
      <c r="R21" s="258" t="str">
        <f>A6</f>
        <v>Accounts receivable</v>
      </c>
      <c r="S21" s="258"/>
      <c r="T21" s="258"/>
      <c r="U21" s="258"/>
    </row>
    <row r="22" spans="1:21" x14ac:dyDescent="0.25">
      <c r="A22" s="197" t="s">
        <v>122</v>
      </c>
      <c r="B22" s="194">
        <v>27000</v>
      </c>
      <c r="C22" s="153"/>
      <c r="D22" s="195">
        <f t="shared" si="0"/>
        <v>0</v>
      </c>
      <c r="E22" s="196">
        <f t="shared" si="1"/>
        <v>0</v>
      </c>
      <c r="F22" s="194">
        <f t="shared" si="3"/>
        <v>27000</v>
      </c>
      <c r="G22" s="153">
        <f t="shared" si="2"/>
        <v>0</v>
      </c>
      <c r="I22" s="211" t="s">
        <v>114</v>
      </c>
      <c r="K22" s="183">
        <f>J21</f>
        <v>159</v>
      </c>
      <c r="M22" s="145" t="s">
        <v>154</v>
      </c>
      <c r="N22" s="170">
        <f>B5</f>
        <v>7500</v>
      </c>
      <c r="R22" s="145" t="s">
        <v>154</v>
      </c>
      <c r="S22" s="170">
        <f>B6</f>
        <v>6500</v>
      </c>
    </row>
    <row r="23" spans="1:21" x14ac:dyDescent="0.25">
      <c r="A23" s="197" t="s">
        <v>43</v>
      </c>
      <c r="B23" s="194">
        <v>40000</v>
      </c>
      <c r="C23" s="153"/>
      <c r="D23" s="195">
        <f t="shared" si="0"/>
        <v>1800</v>
      </c>
      <c r="E23" s="196">
        <f t="shared" si="1"/>
        <v>0</v>
      </c>
      <c r="F23" s="194">
        <f t="shared" si="3"/>
        <v>41800</v>
      </c>
      <c r="G23" s="153">
        <f t="shared" si="2"/>
        <v>0</v>
      </c>
      <c r="I23" s="262" t="s">
        <v>143</v>
      </c>
      <c r="J23" s="262"/>
      <c r="K23" s="262"/>
      <c r="M23" s="172"/>
      <c r="N23" s="173"/>
      <c r="R23" s="172" t="s">
        <v>159</v>
      </c>
      <c r="S23" s="173">
        <f>J16</f>
        <v>590</v>
      </c>
    </row>
    <row r="24" spans="1:21" x14ac:dyDescent="0.25">
      <c r="A24" s="197" t="s">
        <v>123</v>
      </c>
      <c r="B24" s="194">
        <v>12000</v>
      </c>
      <c r="C24" s="153"/>
      <c r="D24" s="195">
        <f t="shared" si="0"/>
        <v>0</v>
      </c>
      <c r="E24" s="196">
        <f t="shared" si="1"/>
        <v>0</v>
      </c>
      <c r="F24" s="194">
        <f t="shared" si="3"/>
        <v>12000</v>
      </c>
      <c r="G24" s="153">
        <f t="shared" si="2"/>
        <v>0</v>
      </c>
      <c r="I24" s="262" t="s">
        <v>144</v>
      </c>
      <c r="J24" s="262"/>
      <c r="K24" s="262"/>
      <c r="N24" s="173"/>
      <c r="P24" s="172"/>
      <c r="R24" s="178"/>
      <c r="S24" s="175"/>
      <c r="T24" s="176"/>
      <c r="U24" s="174"/>
    </row>
    <row r="25" spans="1:21" x14ac:dyDescent="0.25">
      <c r="A25" s="197" t="s">
        <v>132</v>
      </c>
      <c r="B25" s="194"/>
      <c r="C25" s="153"/>
      <c r="D25" s="195">
        <f t="shared" si="0"/>
        <v>12750</v>
      </c>
      <c r="E25" s="196">
        <f t="shared" si="1"/>
        <v>0</v>
      </c>
      <c r="F25" s="194">
        <f t="shared" si="3"/>
        <v>12750</v>
      </c>
      <c r="G25" s="153">
        <f t="shared" si="2"/>
        <v>0</v>
      </c>
      <c r="I25" s="262" t="s">
        <v>145</v>
      </c>
      <c r="J25" s="262"/>
      <c r="K25" s="262"/>
      <c r="N25" s="173"/>
      <c r="P25" s="172"/>
      <c r="R25" s="145" t="s">
        <v>155</v>
      </c>
      <c r="S25" s="173">
        <f>SUM(S22:S24)-SUM(T22:T24)</f>
        <v>7090</v>
      </c>
    </row>
    <row r="26" spans="1:21" x14ac:dyDescent="0.25">
      <c r="A26" s="197" t="s">
        <v>124</v>
      </c>
      <c r="B26" s="194"/>
      <c r="C26" s="153"/>
      <c r="D26" s="195">
        <f t="shared" si="0"/>
        <v>1750</v>
      </c>
      <c r="E26" s="196">
        <f t="shared" si="1"/>
        <v>0</v>
      </c>
      <c r="F26" s="194">
        <f t="shared" ref="F26" si="6">IF(B26+D26&gt;C26+E26,B26-C26+D26-E26,0)</f>
        <v>1750</v>
      </c>
      <c r="G26" s="153">
        <f t="shared" ref="G26" si="7">IF(B26+D26&gt;C26+E26,0,C26-B26+E26-D26)</f>
        <v>0</v>
      </c>
      <c r="I26" s="181" t="s">
        <v>146</v>
      </c>
      <c r="J26" s="182"/>
      <c r="K26" s="182"/>
      <c r="N26" s="173"/>
      <c r="P26" s="172"/>
      <c r="R26" s="92"/>
      <c r="S26" s="92"/>
      <c r="T26" s="92"/>
      <c r="U26" s="92"/>
    </row>
    <row r="27" spans="1:21" x14ac:dyDescent="0.25">
      <c r="A27" s="197" t="s">
        <v>142</v>
      </c>
      <c r="B27" s="194"/>
      <c r="C27" s="153"/>
      <c r="D27" s="195">
        <f t="shared" si="0"/>
        <v>159</v>
      </c>
      <c r="E27" s="196">
        <f t="shared" si="1"/>
        <v>0</v>
      </c>
      <c r="F27" s="194">
        <f t="shared" ref="F27" si="8">IF(B27+D27&gt;C27+E27,B27-C27+D27-E27,0)</f>
        <v>159</v>
      </c>
      <c r="G27" s="153">
        <f t="shared" ref="G27" si="9">IF(B27+D27&gt;C27+E27,0,C27-B27+E27-D27)</f>
        <v>0</v>
      </c>
      <c r="I27" s="92" t="s">
        <v>43</v>
      </c>
      <c r="J27" s="183">
        <v>1800</v>
      </c>
      <c r="M27" s="174"/>
      <c r="N27" s="175"/>
      <c r="O27" s="176"/>
      <c r="P27" s="179"/>
      <c r="R27" s="258" t="str">
        <f>A7</f>
        <v>Allowance for doubtful accounts</v>
      </c>
      <c r="S27" s="258"/>
      <c r="T27" s="258"/>
      <c r="U27" s="258"/>
    </row>
    <row r="28" spans="1:21" x14ac:dyDescent="0.25">
      <c r="A28" s="197" t="s">
        <v>48</v>
      </c>
      <c r="B28" s="194"/>
      <c r="C28" s="153"/>
      <c r="D28" s="195">
        <f t="shared" si="0"/>
        <v>0</v>
      </c>
      <c r="E28" s="196">
        <f t="shared" si="1"/>
        <v>0</v>
      </c>
      <c r="F28" s="194">
        <f t="shared" ref="F28" si="10">IF(B28+D28&gt;C28+E28,B28-C28+D28-E28,0)</f>
        <v>0</v>
      </c>
      <c r="G28" s="153">
        <f t="shared" ref="G28" si="11">IF(B28+D28&gt;C28+E28,0,C28-B28+E28-D28)</f>
        <v>0</v>
      </c>
      <c r="I28" s="211" t="s">
        <v>125</v>
      </c>
      <c r="K28" s="183">
        <f>J27</f>
        <v>1800</v>
      </c>
      <c r="M28" s="145" t="s">
        <v>155</v>
      </c>
      <c r="N28" s="173">
        <f>SUM(N22:N27)-SUM(O22:O27)</f>
        <v>7500</v>
      </c>
      <c r="R28" s="177"/>
      <c r="S28" s="170"/>
      <c r="T28" s="171">
        <f>C7</f>
        <v>550</v>
      </c>
      <c r="U28" s="145" t="s">
        <v>154</v>
      </c>
    </row>
    <row r="29" spans="1:21" ht="16.5" thickBot="1" x14ac:dyDescent="0.3">
      <c r="A29" s="198" t="s">
        <v>1</v>
      </c>
      <c r="B29" s="199"/>
      <c r="C29" s="200"/>
      <c r="D29" s="201">
        <f t="shared" si="0"/>
        <v>0</v>
      </c>
      <c r="E29" s="202">
        <f t="shared" si="1"/>
        <v>0</v>
      </c>
      <c r="F29" s="199">
        <f t="shared" ref="F29" si="12">IF(B29+D29&gt;C29+E29,B29-C29+D29-E29,0)</f>
        <v>0</v>
      </c>
      <c r="G29" s="200">
        <f t="shared" ref="G29" si="13">IF(B29+D29&gt;C29+E29,0,C29-B29+E29-D29)</f>
        <v>0</v>
      </c>
      <c r="I29" s="262" t="s">
        <v>147</v>
      </c>
      <c r="J29" s="262"/>
      <c r="K29" s="262"/>
      <c r="R29" s="172"/>
      <c r="S29" s="173"/>
      <c r="T29" s="171">
        <f>K22</f>
        <v>159</v>
      </c>
      <c r="U29" s="145" t="s">
        <v>160</v>
      </c>
    </row>
    <row r="30" spans="1:21" ht="16.5" thickTop="1" x14ac:dyDescent="0.25">
      <c r="A30" s="203" t="s">
        <v>4</v>
      </c>
      <c r="B30" s="204">
        <f t="shared" ref="B30:G30" si="14">SUM(B5:B29)</f>
        <v>407500</v>
      </c>
      <c r="C30" s="205">
        <f t="shared" si="14"/>
        <v>407500</v>
      </c>
      <c r="D30" s="206">
        <f t="shared" si="14"/>
        <v>21499</v>
      </c>
      <c r="E30" s="207">
        <f t="shared" si="14"/>
        <v>21499</v>
      </c>
      <c r="F30" s="208">
        <f t="shared" si="14"/>
        <v>422799</v>
      </c>
      <c r="G30" s="209">
        <f t="shared" si="14"/>
        <v>422799</v>
      </c>
      <c r="I30" s="181" t="s">
        <v>148</v>
      </c>
      <c r="J30" s="182"/>
      <c r="K30" s="182"/>
      <c r="R30" s="178"/>
      <c r="S30" s="175"/>
      <c r="T30" s="176"/>
      <c r="U30" s="174"/>
    </row>
    <row r="31" spans="1:21" x14ac:dyDescent="0.25">
      <c r="I31" s="92" t="s">
        <v>153</v>
      </c>
      <c r="J31" s="183">
        <v>4450</v>
      </c>
      <c r="R31" s="177"/>
      <c r="S31" s="173"/>
      <c r="T31" s="171">
        <f>SUM(T28:T30)-SUM(S28:S30)</f>
        <v>709</v>
      </c>
      <c r="U31" s="145" t="s">
        <v>155</v>
      </c>
    </row>
    <row r="32" spans="1:21" x14ac:dyDescent="0.25">
      <c r="I32" s="211" t="s">
        <v>152</v>
      </c>
      <c r="K32" s="183">
        <f>J31</f>
        <v>4450</v>
      </c>
    </row>
    <row r="33" spans="2:21" x14ac:dyDescent="0.25">
      <c r="B33" s="92"/>
      <c r="I33" s="262" t="s">
        <v>149</v>
      </c>
      <c r="J33" s="262"/>
      <c r="K33" s="262"/>
      <c r="M33" s="259" t="s">
        <v>127</v>
      </c>
      <c r="N33" s="259"/>
      <c r="O33" s="259"/>
      <c r="P33" s="259"/>
      <c r="Q33" s="259"/>
      <c r="R33" s="259"/>
      <c r="S33" s="259"/>
      <c r="T33" s="259"/>
      <c r="U33" s="259"/>
    </row>
    <row r="34" spans="2:21" x14ac:dyDescent="0.25">
      <c r="I34" s="184" t="s">
        <v>4</v>
      </c>
      <c r="J34" s="185">
        <f>SUM(J4:J33)</f>
        <v>21499</v>
      </c>
      <c r="K34" s="185">
        <f>SUM(K4:K33)</f>
        <v>21499</v>
      </c>
      <c r="M34" s="258" t="str">
        <f>A14</f>
        <v>Share capital</v>
      </c>
      <c r="N34" s="258"/>
      <c r="O34" s="258"/>
      <c r="P34" s="258"/>
      <c r="R34" s="258" t="str">
        <f>A15</f>
        <v>Retained earnings</v>
      </c>
      <c r="S34" s="258"/>
      <c r="T34" s="258"/>
      <c r="U34" s="258"/>
    </row>
    <row r="35" spans="2:21" x14ac:dyDescent="0.25">
      <c r="N35" s="170"/>
      <c r="O35" s="171">
        <f>C14</f>
        <v>200000</v>
      </c>
      <c r="P35" s="145" t="s">
        <v>154</v>
      </c>
      <c r="S35" s="170"/>
      <c r="T35" s="171">
        <f>C15</f>
        <v>41000</v>
      </c>
      <c r="U35" s="145" t="s">
        <v>154</v>
      </c>
    </row>
    <row r="36" spans="2:21" x14ac:dyDescent="0.25">
      <c r="N36" s="173"/>
      <c r="P36" s="172"/>
      <c r="R36" s="177"/>
      <c r="S36" s="173"/>
      <c r="U36" s="172"/>
    </row>
    <row r="37" spans="2:21" x14ac:dyDescent="0.25">
      <c r="M37" s="174"/>
      <c r="N37" s="175"/>
      <c r="O37" s="176"/>
      <c r="P37" s="174"/>
      <c r="R37" s="174"/>
      <c r="S37" s="175"/>
      <c r="T37" s="176"/>
      <c r="U37" s="174"/>
    </row>
    <row r="38" spans="2:21" x14ac:dyDescent="0.25">
      <c r="N38" s="173"/>
      <c r="O38" s="171">
        <f>SUM(O35:O37)-SUM(N35:N37)</f>
        <v>200000</v>
      </c>
      <c r="P38" s="145" t="s">
        <v>155</v>
      </c>
      <c r="S38" s="173"/>
      <c r="T38" s="171">
        <f>SUM(T35:T37)-SUM(S35:S37)</f>
        <v>41000</v>
      </c>
      <c r="U38" s="145" t="s">
        <v>155</v>
      </c>
    </row>
    <row r="40" spans="2:21" x14ac:dyDescent="0.25">
      <c r="M40" s="258" t="str">
        <f>A16</f>
        <v>Unearned revenue</v>
      </c>
      <c r="N40" s="258"/>
      <c r="O40" s="258"/>
      <c r="P40" s="258"/>
      <c r="R40" s="258" t="str">
        <f>A17</f>
        <v>Salaries and wages payable</v>
      </c>
      <c r="S40" s="258"/>
      <c r="T40" s="258"/>
      <c r="U40" s="258"/>
    </row>
    <row r="41" spans="2:21" x14ac:dyDescent="0.25">
      <c r="N41" s="170"/>
      <c r="O41" s="171">
        <f>C16</f>
        <v>0</v>
      </c>
      <c r="P41" s="145" t="s">
        <v>154</v>
      </c>
      <c r="S41" s="170"/>
      <c r="T41" s="171">
        <f>C17</f>
        <v>0</v>
      </c>
      <c r="U41" s="145" t="s">
        <v>154</v>
      </c>
    </row>
    <row r="42" spans="2:21" x14ac:dyDescent="0.25">
      <c r="N42" s="173"/>
      <c r="O42" s="171">
        <f>K32</f>
        <v>4450</v>
      </c>
      <c r="P42" s="172" t="s">
        <v>162</v>
      </c>
      <c r="S42" s="173"/>
      <c r="T42" s="171">
        <f>K28</f>
        <v>1800</v>
      </c>
      <c r="U42" s="172" t="s">
        <v>161</v>
      </c>
    </row>
    <row r="43" spans="2:21" x14ac:dyDescent="0.25">
      <c r="M43" s="179"/>
      <c r="N43" s="175"/>
      <c r="O43" s="176"/>
      <c r="P43" s="179"/>
      <c r="R43" s="179"/>
      <c r="S43" s="175"/>
      <c r="T43" s="176"/>
      <c r="U43" s="179"/>
    </row>
    <row r="44" spans="2:21" x14ac:dyDescent="0.25">
      <c r="N44" s="173"/>
      <c r="O44" s="171">
        <f>SUM(O41:O43)-SUM(N41:N43)</f>
        <v>4450</v>
      </c>
      <c r="P44" s="145" t="s">
        <v>155</v>
      </c>
      <c r="S44" s="173"/>
      <c r="T44" s="171">
        <f>SUM(T41:T43)-SUM(S41:S43)</f>
        <v>1800</v>
      </c>
      <c r="U44" s="145" t="s">
        <v>155</v>
      </c>
    </row>
    <row r="46" spans="2:21" x14ac:dyDescent="0.25">
      <c r="M46" s="259" t="s">
        <v>128</v>
      </c>
      <c r="N46" s="259"/>
      <c r="O46" s="259"/>
      <c r="P46" s="259"/>
      <c r="Q46" s="259"/>
      <c r="R46" s="259"/>
      <c r="S46" s="259"/>
      <c r="T46" s="259"/>
      <c r="U46" s="259"/>
    </row>
    <row r="47" spans="2:21" x14ac:dyDescent="0.25">
      <c r="M47" s="258" t="str">
        <f>A19</f>
        <v>Revenues from accommodation</v>
      </c>
      <c r="N47" s="258"/>
      <c r="O47" s="258"/>
      <c r="P47" s="258"/>
      <c r="R47" s="258" t="str">
        <f>A20</f>
        <v>Revenues from renting hotel facilities</v>
      </c>
      <c r="S47" s="258"/>
      <c r="T47" s="258"/>
      <c r="U47" s="258"/>
    </row>
    <row r="48" spans="2:21" x14ac:dyDescent="0.25">
      <c r="N48" s="170"/>
      <c r="O48" s="171">
        <f>C19</f>
        <v>100000</v>
      </c>
      <c r="P48" s="145" t="s">
        <v>154</v>
      </c>
      <c r="S48" s="170"/>
      <c r="T48" s="171">
        <f>C20</f>
        <v>2950</v>
      </c>
      <c r="U48" s="145" t="s">
        <v>154</v>
      </c>
    </row>
    <row r="49" spans="13:21" x14ac:dyDescent="0.25">
      <c r="M49" s="145" t="s">
        <v>162</v>
      </c>
      <c r="N49" s="173">
        <f>J31</f>
        <v>4450</v>
      </c>
      <c r="P49" s="172"/>
      <c r="S49" s="173"/>
      <c r="T49" s="171">
        <f>K17</f>
        <v>590</v>
      </c>
      <c r="U49" s="172" t="s">
        <v>159</v>
      </c>
    </row>
    <row r="50" spans="13:21" x14ac:dyDescent="0.25">
      <c r="M50" s="174"/>
      <c r="N50" s="175"/>
      <c r="O50" s="176"/>
      <c r="P50" s="179"/>
      <c r="R50" s="174"/>
      <c r="S50" s="175"/>
      <c r="T50" s="176"/>
      <c r="U50" s="179"/>
    </row>
    <row r="51" spans="13:21" x14ac:dyDescent="0.25">
      <c r="N51" s="173"/>
      <c r="O51" s="171">
        <f>SUM(O48:O50)-SUM(N48:N50)</f>
        <v>95550</v>
      </c>
      <c r="P51" s="145" t="s">
        <v>155</v>
      </c>
      <c r="S51" s="173"/>
      <c r="T51" s="171">
        <f>SUM(T48:T50)-SUM(S48:S50)</f>
        <v>3540</v>
      </c>
      <c r="U51" s="145" t="s">
        <v>155</v>
      </c>
    </row>
    <row r="53" spans="13:21" x14ac:dyDescent="0.25">
      <c r="M53" s="258" t="str">
        <f>A21</f>
        <v>Revenues from restaurants</v>
      </c>
      <c r="N53" s="258"/>
      <c r="O53" s="258"/>
      <c r="P53" s="258"/>
      <c r="Q53" s="92"/>
      <c r="R53" s="258" t="str">
        <f>A22</f>
        <v>Utilities expense</v>
      </c>
      <c r="S53" s="258"/>
      <c r="T53" s="258"/>
      <c r="U53" s="258"/>
    </row>
    <row r="54" spans="13:21" x14ac:dyDescent="0.25">
      <c r="N54" s="170"/>
      <c r="O54" s="171">
        <f>C21</f>
        <v>8800</v>
      </c>
      <c r="P54" s="145" t="s">
        <v>154</v>
      </c>
      <c r="Q54" s="92"/>
      <c r="R54" s="145" t="s">
        <v>154</v>
      </c>
      <c r="S54" s="170">
        <f>B22</f>
        <v>27000</v>
      </c>
    </row>
    <row r="55" spans="13:21" x14ac:dyDescent="0.25">
      <c r="N55" s="173"/>
      <c r="P55" s="172"/>
      <c r="Q55" s="92"/>
      <c r="R55" s="172"/>
      <c r="S55" s="173"/>
    </row>
    <row r="56" spans="13:21" x14ac:dyDescent="0.25">
      <c r="M56" s="174"/>
      <c r="N56" s="175"/>
      <c r="O56" s="176"/>
      <c r="P56" s="179"/>
      <c r="Q56" s="92"/>
      <c r="R56" s="178"/>
      <c r="S56" s="175"/>
      <c r="T56" s="176"/>
      <c r="U56" s="174"/>
    </row>
    <row r="57" spans="13:21" x14ac:dyDescent="0.25">
      <c r="N57" s="173"/>
      <c r="O57" s="171">
        <f>SUM(O54:O56)-SUM(N54:N56)</f>
        <v>8800</v>
      </c>
      <c r="P57" s="145" t="s">
        <v>155</v>
      </c>
      <c r="Q57" s="92"/>
      <c r="R57" s="145" t="s">
        <v>155</v>
      </c>
      <c r="S57" s="173">
        <f>SUM(S54:S56)-SUM(T54:T56)</f>
        <v>27000</v>
      </c>
    </row>
    <row r="59" spans="13:21" x14ac:dyDescent="0.25">
      <c r="M59" s="258" t="str">
        <f>A23</f>
        <v>Salaries and wages expense</v>
      </c>
      <c r="N59" s="258"/>
      <c r="O59" s="258"/>
      <c r="P59" s="258"/>
      <c r="R59" s="258" t="str">
        <f>A24</f>
        <v>Maintenance and repairs expense</v>
      </c>
      <c r="S59" s="258"/>
      <c r="T59" s="258"/>
      <c r="U59" s="258"/>
    </row>
    <row r="60" spans="13:21" x14ac:dyDescent="0.25">
      <c r="M60" s="145" t="s">
        <v>154</v>
      </c>
      <c r="N60" s="170">
        <f>B23</f>
        <v>40000</v>
      </c>
      <c r="R60" s="145" t="s">
        <v>154</v>
      </c>
      <c r="S60" s="170">
        <f>B24</f>
        <v>12000</v>
      </c>
    </row>
    <row r="61" spans="13:21" x14ac:dyDescent="0.25">
      <c r="M61" s="172" t="s">
        <v>161</v>
      </c>
      <c r="N61" s="173">
        <f>J27</f>
        <v>1800</v>
      </c>
      <c r="R61" s="172"/>
      <c r="S61" s="173"/>
    </row>
    <row r="62" spans="13:21" x14ac:dyDescent="0.25">
      <c r="M62" s="178"/>
      <c r="N62" s="175"/>
      <c r="O62" s="176"/>
      <c r="P62" s="174"/>
      <c r="R62" s="178"/>
      <c r="S62" s="175"/>
      <c r="T62" s="176"/>
      <c r="U62" s="174"/>
    </row>
    <row r="63" spans="13:21" x14ac:dyDescent="0.25">
      <c r="M63" s="145" t="s">
        <v>155</v>
      </c>
      <c r="N63" s="173">
        <f>SUM(N60:N62)-SUM(O60:O62)</f>
        <v>41800</v>
      </c>
      <c r="R63" s="145" t="s">
        <v>155</v>
      </c>
      <c r="S63" s="173">
        <f>SUM(S60:S62)-SUM(T60:T62)</f>
        <v>12000</v>
      </c>
    </row>
    <row r="65" spans="13:21" x14ac:dyDescent="0.25">
      <c r="M65" s="258" t="str">
        <f>A25</f>
        <v>Depreciation expense</v>
      </c>
      <c r="N65" s="258"/>
      <c r="O65" s="258"/>
      <c r="P65" s="258"/>
      <c r="R65" s="258" t="str">
        <f>A26</f>
        <v>Insurance expense</v>
      </c>
      <c r="S65" s="258"/>
      <c r="T65" s="258"/>
      <c r="U65" s="258"/>
    </row>
    <row r="66" spans="13:21" x14ac:dyDescent="0.25">
      <c r="M66" s="145" t="s">
        <v>154</v>
      </c>
      <c r="N66" s="170">
        <f>B25</f>
        <v>0</v>
      </c>
      <c r="R66" s="145" t="s">
        <v>154</v>
      </c>
      <c r="S66" s="170">
        <f>B26</f>
        <v>0</v>
      </c>
    </row>
    <row r="67" spans="13:21" x14ac:dyDescent="0.25">
      <c r="M67" s="172" t="s">
        <v>156</v>
      </c>
      <c r="N67" s="173">
        <f>J4</f>
        <v>1500</v>
      </c>
      <c r="R67" s="172" t="s">
        <v>158</v>
      </c>
      <c r="S67" s="173">
        <f>J12</f>
        <v>1750</v>
      </c>
    </row>
    <row r="68" spans="13:21" x14ac:dyDescent="0.25">
      <c r="M68" s="178" t="s">
        <v>157</v>
      </c>
      <c r="N68" s="175">
        <f>J8</f>
        <v>11250</v>
      </c>
      <c r="O68" s="176"/>
      <c r="P68" s="174"/>
      <c r="R68" s="178"/>
      <c r="S68" s="175"/>
      <c r="T68" s="176"/>
      <c r="U68" s="174"/>
    </row>
    <row r="69" spans="13:21" x14ac:dyDescent="0.25">
      <c r="M69" s="145" t="s">
        <v>155</v>
      </c>
      <c r="N69" s="173">
        <f>SUM(N66:N68)-SUM(O66:O68)</f>
        <v>12750</v>
      </c>
      <c r="R69" s="145" t="s">
        <v>155</v>
      </c>
      <c r="S69" s="173">
        <f>SUM(S66:S68)-SUM(T66:T68)</f>
        <v>1750</v>
      </c>
    </row>
    <row r="71" spans="13:21" x14ac:dyDescent="0.25">
      <c r="M71" s="258" t="str">
        <f>A27</f>
        <v>Bad debt expense</v>
      </c>
      <c r="N71" s="258"/>
      <c r="O71" s="258"/>
      <c r="P71" s="258"/>
    </row>
    <row r="72" spans="13:21" x14ac:dyDescent="0.25">
      <c r="M72" s="145" t="s">
        <v>154</v>
      </c>
      <c r="N72" s="170">
        <f>B27</f>
        <v>0</v>
      </c>
    </row>
    <row r="73" spans="13:21" x14ac:dyDescent="0.25">
      <c r="M73" s="172" t="s">
        <v>160</v>
      </c>
      <c r="N73" s="173">
        <f>J21</f>
        <v>159</v>
      </c>
    </row>
    <row r="74" spans="13:21" x14ac:dyDescent="0.25">
      <c r="M74" s="178"/>
      <c r="N74" s="175"/>
      <c r="O74" s="176"/>
      <c r="P74" s="174"/>
    </row>
    <row r="75" spans="13:21" x14ac:dyDescent="0.25">
      <c r="M75" s="145" t="s">
        <v>155</v>
      </c>
      <c r="N75" s="173">
        <f>SUM(N72:N74)-SUM(O72:O74)</f>
        <v>159</v>
      </c>
    </row>
  </sheetData>
  <mergeCells count="43">
    <mergeCell ref="B2:C2"/>
    <mergeCell ref="D3:E3"/>
    <mergeCell ref="B3:C3"/>
    <mergeCell ref="F2:G2"/>
    <mergeCell ref="F3:G3"/>
    <mergeCell ref="I6:K6"/>
    <mergeCell ref="I18:K18"/>
    <mergeCell ref="I25:K25"/>
    <mergeCell ref="I29:K29"/>
    <mergeCell ref="D2:E2"/>
    <mergeCell ref="M9:P9"/>
    <mergeCell ref="R9:U9"/>
    <mergeCell ref="M15:P15"/>
    <mergeCell ref="R15:U15"/>
    <mergeCell ref="I33:K33"/>
    <mergeCell ref="I10:K10"/>
    <mergeCell ref="I14:K14"/>
    <mergeCell ref="I19:K19"/>
    <mergeCell ref="I23:K23"/>
    <mergeCell ref="I24:K24"/>
    <mergeCell ref="M46:U46"/>
    <mergeCell ref="M47:P47"/>
    <mergeCell ref="R47:U47"/>
    <mergeCell ref="I1:K1"/>
    <mergeCell ref="M1:U1"/>
    <mergeCell ref="R27:U27"/>
    <mergeCell ref="M21:P21"/>
    <mergeCell ref="R21:U21"/>
    <mergeCell ref="M33:U33"/>
    <mergeCell ref="M34:P34"/>
    <mergeCell ref="R34:U34"/>
    <mergeCell ref="M40:P40"/>
    <mergeCell ref="R40:U40"/>
    <mergeCell ref="M2:U2"/>
    <mergeCell ref="M3:P3"/>
    <mergeCell ref="R3:U3"/>
    <mergeCell ref="M71:P71"/>
    <mergeCell ref="M53:P53"/>
    <mergeCell ref="R53:U53"/>
    <mergeCell ref="M59:P59"/>
    <mergeCell ref="R59:U59"/>
    <mergeCell ref="M65:P65"/>
    <mergeCell ref="R65:U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EEC58-D3A5-4239-9CC8-9632C6D4082D}">
  <dimension ref="A1:U88"/>
  <sheetViews>
    <sheetView showGridLines="0" topLeftCell="A2" workbookViewId="0">
      <selection activeCell="J20" sqref="J20"/>
    </sheetView>
  </sheetViews>
  <sheetFormatPr defaultRowHeight="15.75" x14ac:dyDescent="0.25"/>
  <cols>
    <col min="1" max="1" width="40.7109375" style="92" bestFit="1" customWidth="1"/>
    <col min="2" max="2" width="11.5703125" style="210" customWidth="1"/>
    <col min="3" max="7" width="11.5703125" style="92" customWidth="1"/>
    <col min="8" max="8" width="9.140625" style="92"/>
    <col min="9" max="9" width="37.42578125" style="92" customWidth="1"/>
    <col min="10" max="11" width="14.5703125" style="183" bestFit="1" customWidth="1"/>
    <col min="12" max="12" width="9.140625" style="92"/>
    <col min="13" max="13" width="23.140625" style="145" bestFit="1" customWidth="1"/>
    <col min="14" max="14" width="15" style="171" bestFit="1" customWidth="1"/>
    <col min="15" max="15" width="14" style="171" customWidth="1"/>
    <col min="16" max="16" width="23.140625" style="145" bestFit="1" customWidth="1"/>
    <col min="17" max="17" width="2.7109375" style="150" customWidth="1"/>
    <col min="18" max="18" width="23.140625" style="145" bestFit="1" customWidth="1"/>
    <col min="19" max="19" width="14" style="171" bestFit="1" customWidth="1"/>
    <col min="20" max="20" width="13" style="171" customWidth="1"/>
    <col min="21" max="21" width="23.140625" style="145" bestFit="1" customWidth="1"/>
    <col min="22" max="16384" width="9.140625" style="92"/>
  </cols>
  <sheetData>
    <row r="1" spans="1:21" x14ac:dyDescent="0.25">
      <c r="B1" s="92"/>
      <c r="I1" s="278" t="s">
        <v>165</v>
      </c>
      <c r="J1" s="278"/>
      <c r="K1" s="278"/>
      <c r="M1" s="273" t="s">
        <v>166</v>
      </c>
      <c r="N1" s="273"/>
      <c r="O1" s="273"/>
      <c r="P1" s="273"/>
      <c r="Q1" s="273"/>
      <c r="R1" s="273"/>
      <c r="S1" s="273"/>
      <c r="T1" s="273"/>
      <c r="U1" s="273"/>
    </row>
    <row r="2" spans="1:21" x14ac:dyDescent="0.25">
      <c r="A2" s="186"/>
      <c r="B2" s="271" t="s">
        <v>39</v>
      </c>
      <c r="C2" s="272"/>
      <c r="D2" s="274" t="s">
        <v>163</v>
      </c>
      <c r="E2" s="275"/>
      <c r="F2" s="271" t="s">
        <v>164</v>
      </c>
      <c r="G2" s="272"/>
      <c r="I2" s="97"/>
      <c r="J2" s="180" t="s">
        <v>129</v>
      </c>
      <c r="K2" s="180" t="s">
        <v>130</v>
      </c>
      <c r="M2" s="259" t="s">
        <v>126</v>
      </c>
      <c r="N2" s="259"/>
      <c r="O2" s="259"/>
      <c r="P2" s="259"/>
      <c r="Q2" s="259"/>
      <c r="R2" s="259"/>
      <c r="S2" s="259"/>
      <c r="T2" s="259"/>
      <c r="U2" s="259"/>
    </row>
    <row r="3" spans="1:21" x14ac:dyDescent="0.25">
      <c r="A3" s="187"/>
      <c r="B3" s="269">
        <v>44196</v>
      </c>
      <c r="C3" s="270"/>
      <c r="D3" s="276">
        <v>44196</v>
      </c>
      <c r="E3" s="277"/>
      <c r="F3" s="269">
        <v>44196</v>
      </c>
      <c r="G3" s="270"/>
      <c r="I3" s="181" t="s">
        <v>167</v>
      </c>
      <c r="J3" s="182"/>
      <c r="K3" s="182"/>
      <c r="M3" s="258" t="str">
        <f>A9</f>
        <v>Land</v>
      </c>
      <c r="N3" s="258"/>
      <c r="O3" s="258"/>
      <c r="P3" s="258"/>
      <c r="R3" s="258" t="str">
        <f>A10</f>
        <v>Buildings</v>
      </c>
      <c r="S3" s="258"/>
      <c r="T3" s="258"/>
      <c r="U3" s="258"/>
    </row>
    <row r="4" spans="1:21" x14ac:dyDescent="0.25">
      <c r="A4" s="188" t="s">
        <v>3</v>
      </c>
      <c r="B4" s="189" t="s">
        <v>8</v>
      </c>
      <c r="C4" s="190" t="s">
        <v>9</v>
      </c>
      <c r="D4" s="212" t="s">
        <v>6</v>
      </c>
      <c r="E4" s="213" t="s">
        <v>7</v>
      </c>
      <c r="F4" s="189" t="s">
        <v>8</v>
      </c>
      <c r="G4" s="193" t="s">
        <v>9</v>
      </c>
      <c r="I4" s="92" t="s">
        <v>153</v>
      </c>
      <c r="J4" s="183">
        <f>C19</f>
        <v>95550</v>
      </c>
      <c r="M4" s="145" t="s">
        <v>155</v>
      </c>
      <c r="N4" s="170">
        <f>B9</f>
        <v>175000</v>
      </c>
      <c r="R4" s="145" t="s">
        <v>155</v>
      </c>
      <c r="S4" s="170">
        <f>B10</f>
        <v>60000</v>
      </c>
    </row>
    <row r="5" spans="1:21" x14ac:dyDescent="0.25">
      <c r="A5" s="187" t="s">
        <v>34</v>
      </c>
      <c r="B5" s="194">
        <f>'Subject 2 - Adjustments'!F5</f>
        <v>7500</v>
      </c>
      <c r="C5" s="153">
        <f>'Subject 2 - Adjustments'!G5</f>
        <v>0</v>
      </c>
      <c r="D5" s="214">
        <f t="shared" ref="D5:D29" si="0">SUMIF($I$4:$I$29,$A5,J$4:J$29)</f>
        <v>0</v>
      </c>
      <c r="E5" s="215">
        <f t="shared" ref="E5:E29" si="1">SUMIF($I$4:$I$29,$A5,K$4:K$29)</f>
        <v>0</v>
      </c>
      <c r="F5" s="194">
        <f>IF(B5+D5&gt;C5+E5,B5-C5+D5-E5,0)</f>
        <v>7500</v>
      </c>
      <c r="G5" s="153">
        <f t="shared" ref="G5:G27" si="2">IF(B5+D5&gt;C5+E5,0,C5-B5+E5-D5)</f>
        <v>0</v>
      </c>
      <c r="I5" s="92" t="s">
        <v>120</v>
      </c>
      <c r="J5" s="183">
        <f t="shared" ref="J5:J6" si="3">C20</f>
        <v>3540</v>
      </c>
      <c r="M5" s="172"/>
      <c r="N5" s="173"/>
      <c r="R5" s="172"/>
      <c r="S5" s="173"/>
    </row>
    <row r="6" spans="1:21" x14ac:dyDescent="0.25">
      <c r="A6" s="197" t="s">
        <v>10</v>
      </c>
      <c r="B6" s="194">
        <f>'Subject 2 - Adjustments'!F6</f>
        <v>7090</v>
      </c>
      <c r="C6" s="153">
        <f>'Subject 2 - Adjustments'!G6</f>
        <v>0</v>
      </c>
      <c r="D6" s="214">
        <f t="shared" si="0"/>
        <v>0</v>
      </c>
      <c r="E6" s="215">
        <f t="shared" si="1"/>
        <v>0</v>
      </c>
      <c r="F6" s="194">
        <f t="shared" ref="F6:F27" si="4">IF(B6+D6&gt;C6+E6,B6-C6+D6-E6,0)</f>
        <v>7090</v>
      </c>
      <c r="G6" s="153">
        <f t="shared" si="2"/>
        <v>0</v>
      </c>
      <c r="I6" s="92" t="s">
        <v>121</v>
      </c>
      <c r="J6" s="183">
        <f t="shared" si="3"/>
        <v>8800</v>
      </c>
      <c r="M6" s="174"/>
      <c r="N6" s="175"/>
      <c r="O6" s="176"/>
      <c r="P6" s="174"/>
      <c r="R6" s="174"/>
      <c r="S6" s="175"/>
      <c r="T6" s="176"/>
      <c r="U6" s="174"/>
    </row>
    <row r="7" spans="1:21" x14ac:dyDescent="0.25">
      <c r="A7" s="197" t="s">
        <v>114</v>
      </c>
      <c r="B7" s="194">
        <f>'Subject 2 - Adjustments'!F7</f>
        <v>0</v>
      </c>
      <c r="C7" s="153">
        <f>'Subject 2 - Adjustments'!G7</f>
        <v>709</v>
      </c>
      <c r="D7" s="214">
        <f t="shared" si="0"/>
        <v>0</v>
      </c>
      <c r="E7" s="215">
        <f t="shared" si="1"/>
        <v>0</v>
      </c>
      <c r="F7" s="194">
        <f t="shared" si="4"/>
        <v>0</v>
      </c>
      <c r="G7" s="153">
        <f t="shared" si="2"/>
        <v>709</v>
      </c>
      <c r="I7" s="211" t="s">
        <v>1</v>
      </c>
      <c r="K7" s="183">
        <f>SUM(J4:J6)</f>
        <v>107890</v>
      </c>
      <c r="M7" s="145" t="s">
        <v>177</v>
      </c>
      <c r="N7" s="173">
        <f>SUM(N4:N6)-SUM(O4:O6)</f>
        <v>175000</v>
      </c>
      <c r="R7" s="145" t="s">
        <v>177</v>
      </c>
      <c r="S7" s="173">
        <f>SUM(S4:S6)-SUM(T4:T6)</f>
        <v>60000</v>
      </c>
    </row>
    <row r="8" spans="1:21" x14ac:dyDescent="0.25">
      <c r="A8" s="197" t="s">
        <v>115</v>
      </c>
      <c r="B8" s="194">
        <f>'Subject 2 - Adjustments'!F8</f>
        <v>2750</v>
      </c>
      <c r="C8" s="153">
        <f>'Subject 2 - Adjustments'!G8</f>
        <v>0</v>
      </c>
      <c r="D8" s="214">
        <f t="shared" si="0"/>
        <v>0</v>
      </c>
      <c r="E8" s="215">
        <f t="shared" si="1"/>
        <v>0</v>
      </c>
      <c r="F8" s="194">
        <f t="shared" si="4"/>
        <v>2750</v>
      </c>
      <c r="G8" s="153">
        <f t="shared" si="2"/>
        <v>0</v>
      </c>
      <c r="I8" s="262" t="s">
        <v>168</v>
      </c>
      <c r="J8" s="262"/>
      <c r="K8" s="262"/>
    </row>
    <row r="9" spans="1:21" x14ac:dyDescent="0.25">
      <c r="A9" s="197" t="s">
        <v>116</v>
      </c>
      <c r="B9" s="194">
        <f>'Subject 2 - Adjustments'!F9</f>
        <v>175000</v>
      </c>
      <c r="C9" s="153">
        <f>'Subject 2 - Adjustments'!G9</f>
        <v>0</v>
      </c>
      <c r="D9" s="214">
        <f t="shared" si="0"/>
        <v>0</v>
      </c>
      <c r="E9" s="215">
        <f t="shared" si="1"/>
        <v>0</v>
      </c>
      <c r="F9" s="194">
        <f t="shared" si="4"/>
        <v>175000</v>
      </c>
      <c r="G9" s="153">
        <f t="shared" si="2"/>
        <v>0</v>
      </c>
      <c r="I9" s="181" t="s">
        <v>169</v>
      </c>
      <c r="J9" s="182"/>
      <c r="K9" s="182"/>
      <c r="M9" s="258" t="str">
        <f>A12</f>
        <v>Equipment</v>
      </c>
      <c r="N9" s="258"/>
      <c r="O9" s="258"/>
      <c r="P9" s="258"/>
      <c r="R9" s="258" t="str">
        <f>A11</f>
        <v>Accumulated depreciation - Buildings</v>
      </c>
      <c r="S9" s="258"/>
      <c r="T9" s="258"/>
      <c r="U9" s="258"/>
    </row>
    <row r="10" spans="1:21" x14ac:dyDescent="0.25">
      <c r="A10" s="187" t="s">
        <v>117</v>
      </c>
      <c r="B10" s="194">
        <f>'Subject 2 - Adjustments'!F10</f>
        <v>60000</v>
      </c>
      <c r="C10" s="153">
        <f>'Subject 2 - Adjustments'!G10</f>
        <v>0</v>
      </c>
      <c r="D10" s="214">
        <f t="shared" si="0"/>
        <v>0</v>
      </c>
      <c r="E10" s="215">
        <f t="shared" si="1"/>
        <v>0</v>
      </c>
      <c r="F10" s="194">
        <f t="shared" si="4"/>
        <v>60000</v>
      </c>
      <c r="G10" s="153">
        <f t="shared" si="2"/>
        <v>0</v>
      </c>
      <c r="I10" s="92" t="s">
        <v>1</v>
      </c>
      <c r="J10" s="183">
        <f>SUM(K11:K16)</f>
        <v>95459</v>
      </c>
      <c r="M10" s="145" t="s">
        <v>155</v>
      </c>
      <c r="N10" s="170">
        <f>B12</f>
        <v>75000</v>
      </c>
      <c r="R10" s="177"/>
      <c r="S10" s="170"/>
      <c r="T10" s="171">
        <f>C11</f>
        <v>20700</v>
      </c>
      <c r="U10" s="145" t="s">
        <v>155</v>
      </c>
    </row>
    <row r="11" spans="1:21" x14ac:dyDescent="0.25">
      <c r="A11" s="187" t="s">
        <v>118</v>
      </c>
      <c r="B11" s="194">
        <f>'Subject 2 - Adjustments'!F11</f>
        <v>0</v>
      </c>
      <c r="C11" s="153">
        <f>'Subject 2 - Adjustments'!G11</f>
        <v>20700</v>
      </c>
      <c r="D11" s="214">
        <f t="shared" si="0"/>
        <v>0</v>
      </c>
      <c r="E11" s="215">
        <f t="shared" si="1"/>
        <v>0</v>
      </c>
      <c r="F11" s="194">
        <f t="shared" si="4"/>
        <v>0</v>
      </c>
      <c r="G11" s="153">
        <f t="shared" si="2"/>
        <v>20700</v>
      </c>
      <c r="I11" s="211" t="s">
        <v>122</v>
      </c>
      <c r="K11" s="183">
        <f>B22</f>
        <v>27000</v>
      </c>
      <c r="M11" s="172"/>
      <c r="N11" s="173"/>
      <c r="R11" s="172"/>
      <c r="S11" s="173"/>
    </row>
    <row r="12" spans="1:21" x14ac:dyDescent="0.25">
      <c r="A12" s="187" t="s">
        <v>41</v>
      </c>
      <c r="B12" s="194">
        <f>'Subject 2 - Adjustments'!F12</f>
        <v>75000</v>
      </c>
      <c r="C12" s="153">
        <f>'Subject 2 - Adjustments'!G12</f>
        <v>0</v>
      </c>
      <c r="D12" s="214">
        <f t="shared" si="0"/>
        <v>0</v>
      </c>
      <c r="E12" s="215">
        <f t="shared" si="1"/>
        <v>0</v>
      </c>
      <c r="F12" s="194">
        <f t="shared" si="4"/>
        <v>75000</v>
      </c>
      <c r="G12" s="153">
        <f t="shared" si="2"/>
        <v>0</v>
      </c>
      <c r="I12" s="211" t="s">
        <v>43</v>
      </c>
      <c r="K12" s="183">
        <f t="shared" ref="K12:K16" si="5">B23</f>
        <v>41800</v>
      </c>
      <c r="M12" s="178"/>
      <c r="N12" s="175"/>
      <c r="O12" s="176"/>
      <c r="P12" s="174"/>
      <c r="R12" s="178"/>
      <c r="S12" s="175"/>
      <c r="T12" s="176"/>
      <c r="U12" s="174"/>
    </row>
    <row r="13" spans="1:21" x14ac:dyDescent="0.25">
      <c r="A13" s="187" t="s">
        <v>119</v>
      </c>
      <c r="B13" s="194">
        <f>'Subject 2 - Adjustments'!F13</f>
        <v>0</v>
      </c>
      <c r="C13" s="153">
        <f>'Subject 2 - Adjustments'!G13</f>
        <v>46250</v>
      </c>
      <c r="D13" s="214">
        <f t="shared" si="0"/>
        <v>0</v>
      </c>
      <c r="E13" s="215">
        <f t="shared" si="1"/>
        <v>0</v>
      </c>
      <c r="F13" s="194">
        <f t="shared" si="4"/>
        <v>0</v>
      </c>
      <c r="G13" s="153">
        <f t="shared" si="2"/>
        <v>46250</v>
      </c>
      <c r="I13" s="211" t="s">
        <v>123</v>
      </c>
      <c r="K13" s="183">
        <f t="shared" si="5"/>
        <v>12000</v>
      </c>
      <c r="M13" s="145" t="s">
        <v>177</v>
      </c>
      <c r="N13" s="173">
        <f>SUM(N10:N12)-SUM(O10:O12)</f>
        <v>75000</v>
      </c>
      <c r="R13" s="177"/>
      <c r="S13" s="173"/>
      <c r="T13" s="171">
        <f>SUM(T10:T12)-SUM(S10:S12)</f>
        <v>20700</v>
      </c>
      <c r="U13" s="145" t="s">
        <v>177</v>
      </c>
    </row>
    <row r="14" spans="1:21" x14ac:dyDescent="0.25">
      <c r="A14" s="197" t="s">
        <v>5</v>
      </c>
      <c r="B14" s="194">
        <f>'Subject 2 - Adjustments'!F14</f>
        <v>0</v>
      </c>
      <c r="C14" s="153">
        <f>'Subject 2 - Adjustments'!G14</f>
        <v>200000</v>
      </c>
      <c r="D14" s="214">
        <f t="shared" si="0"/>
        <v>0</v>
      </c>
      <c r="E14" s="215">
        <f t="shared" si="1"/>
        <v>0</v>
      </c>
      <c r="F14" s="194">
        <f t="shared" si="4"/>
        <v>0</v>
      </c>
      <c r="G14" s="153">
        <f t="shared" si="2"/>
        <v>200000</v>
      </c>
      <c r="I14" s="211" t="s">
        <v>132</v>
      </c>
      <c r="K14" s="183">
        <f t="shared" si="5"/>
        <v>12750</v>
      </c>
    </row>
    <row r="15" spans="1:21" x14ac:dyDescent="0.25">
      <c r="A15" s="187" t="s">
        <v>12</v>
      </c>
      <c r="B15" s="194">
        <f>'Subject 2 - Adjustments'!F15</f>
        <v>0</v>
      </c>
      <c r="C15" s="153">
        <f>'Subject 2 - Adjustments'!G15</f>
        <v>41000</v>
      </c>
      <c r="D15" s="214">
        <f t="shared" si="0"/>
        <v>0</v>
      </c>
      <c r="E15" s="215">
        <f t="shared" si="1"/>
        <v>9944.7999999999993</v>
      </c>
      <c r="F15" s="194">
        <f t="shared" si="4"/>
        <v>0</v>
      </c>
      <c r="G15" s="153">
        <f t="shared" si="2"/>
        <v>50944.800000000003</v>
      </c>
      <c r="I15" s="211" t="s">
        <v>124</v>
      </c>
      <c r="K15" s="183">
        <f t="shared" si="5"/>
        <v>1750</v>
      </c>
      <c r="M15" s="258" t="str">
        <f>A13</f>
        <v>Accumulated depreciation - Equipment</v>
      </c>
      <c r="N15" s="258"/>
      <c r="O15" s="258"/>
      <c r="P15" s="258"/>
      <c r="R15" s="258" t="str">
        <f>A8</f>
        <v>Prepaid insurance</v>
      </c>
      <c r="S15" s="258"/>
      <c r="T15" s="258"/>
      <c r="U15" s="258"/>
    </row>
    <row r="16" spans="1:21" x14ac:dyDescent="0.25">
      <c r="A16" s="187" t="s">
        <v>152</v>
      </c>
      <c r="B16" s="194">
        <f>'Subject 2 - Adjustments'!F16</f>
        <v>0</v>
      </c>
      <c r="C16" s="153">
        <f>'Subject 2 - Adjustments'!G16</f>
        <v>4450</v>
      </c>
      <c r="D16" s="214">
        <f t="shared" si="0"/>
        <v>0</v>
      </c>
      <c r="E16" s="215">
        <f t="shared" si="1"/>
        <v>0</v>
      </c>
      <c r="F16" s="194">
        <f t="shared" si="4"/>
        <v>0</v>
      </c>
      <c r="G16" s="153">
        <f t="shared" si="2"/>
        <v>4450</v>
      </c>
      <c r="I16" s="211" t="s">
        <v>142</v>
      </c>
      <c r="K16" s="183">
        <f t="shared" si="5"/>
        <v>159</v>
      </c>
      <c r="M16" s="177"/>
      <c r="N16" s="170"/>
      <c r="O16" s="171">
        <f>C13</f>
        <v>46250</v>
      </c>
      <c r="P16" s="145" t="s">
        <v>155</v>
      </c>
      <c r="R16" s="145" t="s">
        <v>155</v>
      </c>
      <c r="S16" s="170">
        <f>B8</f>
        <v>2750</v>
      </c>
    </row>
    <row r="17" spans="1:21" x14ac:dyDescent="0.25">
      <c r="A17" s="187" t="s">
        <v>125</v>
      </c>
      <c r="B17" s="194">
        <f>'Subject 2 - Adjustments'!F17</f>
        <v>0</v>
      </c>
      <c r="C17" s="153">
        <f>'Subject 2 - Adjustments'!G17</f>
        <v>1800</v>
      </c>
      <c r="D17" s="214">
        <f t="shared" si="0"/>
        <v>0</v>
      </c>
      <c r="E17" s="215">
        <f t="shared" si="1"/>
        <v>0</v>
      </c>
      <c r="F17" s="194">
        <f t="shared" si="4"/>
        <v>0</v>
      </c>
      <c r="G17" s="153">
        <f t="shared" si="2"/>
        <v>1800</v>
      </c>
      <c r="I17" s="262" t="s">
        <v>173</v>
      </c>
      <c r="J17" s="262"/>
      <c r="K17" s="262"/>
      <c r="M17" s="172"/>
      <c r="N17" s="173"/>
      <c r="R17" s="172"/>
      <c r="S17" s="173"/>
    </row>
    <row r="18" spans="1:21" x14ac:dyDescent="0.25">
      <c r="A18" s="187" t="s">
        <v>11</v>
      </c>
      <c r="B18" s="194">
        <f>'Subject 2 - Adjustments'!F19</f>
        <v>0</v>
      </c>
      <c r="C18" s="153">
        <f>'Subject 2 - Adjustments'!G18</f>
        <v>0</v>
      </c>
      <c r="D18" s="214">
        <f t="shared" si="0"/>
        <v>0</v>
      </c>
      <c r="E18" s="215">
        <f t="shared" si="1"/>
        <v>2486.2000000000003</v>
      </c>
      <c r="F18" s="194">
        <f t="shared" ref="F18" si="6">IF(B18+D18&gt;C18+E18,B18-C18+D18-E18,0)</f>
        <v>0</v>
      </c>
      <c r="G18" s="153">
        <f t="shared" ref="G18" si="7">IF(B18+D18&gt;C18+E18,0,C18-B18+E18-D18)</f>
        <v>2486.2000000000003</v>
      </c>
      <c r="I18" s="181" t="s">
        <v>170</v>
      </c>
      <c r="J18" s="182"/>
      <c r="K18" s="182"/>
      <c r="M18" s="178"/>
      <c r="N18" s="175"/>
      <c r="O18" s="176"/>
      <c r="P18" s="179"/>
      <c r="R18" s="178"/>
      <c r="S18" s="175"/>
      <c r="T18" s="176"/>
      <c r="U18" s="174"/>
    </row>
    <row r="19" spans="1:21" x14ac:dyDescent="0.25">
      <c r="A19" s="197" t="s">
        <v>153</v>
      </c>
      <c r="B19" s="194">
        <f>'Subject 2 - Adjustments'!F19</f>
        <v>0</v>
      </c>
      <c r="C19" s="153">
        <f>'Subject 2 - Adjustments'!G19</f>
        <v>95550</v>
      </c>
      <c r="D19" s="214">
        <f t="shared" si="0"/>
        <v>95550</v>
      </c>
      <c r="E19" s="215">
        <f t="shared" si="1"/>
        <v>0</v>
      </c>
      <c r="F19" s="194">
        <f>IF(B19+D19&gt;C19+E19,B19-C19+D19-E19,0)</f>
        <v>0</v>
      </c>
      <c r="G19" s="153">
        <f>IF(B19+D19&gt;C19+E19,0,C19-B19+E19-D19)</f>
        <v>0</v>
      </c>
      <c r="I19" s="92" t="s">
        <v>48</v>
      </c>
      <c r="J19" s="183">
        <f>(K7-J10)*20%</f>
        <v>2486.2000000000003</v>
      </c>
      <c r="M19" s="177"/>
      <c r="N19" s="173"/>
      <c r="O19" s="171">
        <f>SUM(O16:O18)-SUM(N16:N18)</f>
        <v>46250</v>
      </c>
      <c r="P19" s="145" t="s">
        <v>177</v>
      </c>
      <c r="R19" s="145" t="s">
        <v>177</v>
      </c>
      <c r="S19" s="173">
        <f>SUM(S16:S18)-SUM(T16:T18)</f>
        <v>2750</v>
      </c>
    </row>
    <row r="20" spans="1:21" x14ac:dyDescent="0.25">
      <c r="A20" s="197" t="s">
        <v>120</v>
      </c>
      <c r="B20" s="194">
        <f>'Subject 2 - Adjustments'!F20</f>
        <v>0</v>
      </c>
      <c r="C20" s="153">
        <f>'Subject 2 - Adjustments'!G20</f>
        <v>3540</v>
      </c>
      <c r="D20" s="214">
        <f t="shared" si="0"/>
        <v>3540</v>
      </c>
      <c r="E20" s="215">
        <f t="shared" si="1"/>
        <v>0</v>
      </c>
      <c r="F20" s="194">
        <f t="shared" si="4"/>
        <v>0</v>
      </c>
      <c r="G20" s="153">
        <f t="shared" si="2"/>
        <v>0</v>
      </c>
      <c r="I20" s="211" t="s">
        <v>11</v>
      </c>
      <c r="K20" s="183">
        <f>J19</f>
        <v>2486.2000000000003</v>
      </c>
    </row>
    <row r="21" spans="1:21" x14ac:dyDescent="0.25">
      <c r="A21" s="197" t="s">
        <v>121</v>
      </c>
      <c r="B21" s="194">
        <f>'Subject 2 - Adjustments'!F21</f>
        <v>0</v>
      </c>
      <c r="C21" s="153">
        <f>'Subject 2 - Adjustments'!G21</f>
        <v>8800</v>
      </c>
      <c r="D21" s="214">
        <f t="shared" si="0"/>
        <v>8800</v>
      </c>
      <c r="E21" s="215">
        <f t="shared" si="1"/>
        <v>0</v>
      </c>
      <c r="F21" s="194">
        <f t="shared" si="4"/>
        <v>0</v>
      </c>
      <c r="G21" s="153">
        <f t="shared" si="2"/>
        <v>0</v>
      </c>
      <c r="I21" s="262" t="s">
        <v>171</v>
      </c>
      <c r="J21" s="262"/>
      <c r="K21" s="262"/>
      <c r="M21" s="258" t="str">
        <f>A5</f>
        <v>Cash</v>
      </c>
      <c r="N21" s="258"/>
      <c r="O21" s="258"/>
      <c r="P21" s="258"/>
      <c r="R21" s="258" t="str">
        <f>A6</f>
        <v>Accounts receivable</v>
      </c>
      <c r="S21" s="258"/>
      <c r="T21" s="258"/>
      <c r="U21" s="258"/>
    </row>
    <row r="22" spans="1:21" x14ac:dyDescent="0.25">
      <c r="A22" s="197" t="s">
        <v>122</v>
      </c>
      <c r="B22" s="194">
        <f>'Subject 2 - Adjustments'!F22</f>
        <v>27000</v>
      </c>
      <c r="C22" s="153">
        <f>'Subject 2 - Adjustments'!G22</f>
        <v>0</v>
      </c>
      <c r="D22" s="214">
        <f t="shared" si="0"/>
        <v>0</v>
      </c>
      <c r="E22" s="215">
        <f t="shared" si="1"/>
        <v>27000</v>
      </c>
      <c r="F22" s="194">
        <f t="shared" si="4"/>
        <v>0</v>
      </c>
      <c r="G22" s="153">
        <f t="shared" si="2"/>
        <v>0</v>
      </c>
      <c r="I22" s="181" t="s">
        <v>172</v>
      </c>
      <c r="J22" s="182"/>
      <c r="K22" s="182"/>
      <c r="M22" s="145" t="s">
        <v>155</v>
      </c>
      <c r="N22" s="170">
        <f>B5</f>
        <v>7500</v>
      </c>
      <c r="R22" s="145" t="s">
        <v>155</v>
      </c>
      <c r="S22" s="170">
        <f>B6</f>
        <v>7090</v>
      </c>
    </row>
    <row r="23" spans="1:21" x14ac:dyDescent="0.25">
      <c r="A23" s="197" t="s">
        <v>43</v>
      </c>
      <c r="B23" s="194">
        <f>'Subject 2 - Adjustments'!F23</f>
        <v>41800</v>
      </c>
      <c r="C23" s="153">
        <f>'Subject 2 - Adjustments'!G23</f>
        <v>0</v>
      </c>
      <c r="D23" s="214">
        <f t="shared" si="0"/>
        <v>0</v>
      </c>
      <c r="E23" s="215">
        <f t="shared" si="1"/>
        <v>41800</v>
      </c>
      <c r="F23" s="194">
        <f t="shared" si="4"/>
        <v>0</v>
      </c>
      <c r="G23" s="153">
        <f t="shared" si="2"/>
        <v>0</v>
      </c>
      <c r="I23" s="92" t="s">
        <v>1</v>
      </c>
      <c r="J23" s="183">
        <f>K24</f>
        <v>2486.2000000000003</v>
      </c>
      <c r="M23" s="172"/>
      <c r="N23" s="173"/>
      <c r="R23" s="172"/>
      <c r="S23" s="173"/>
    </row>
    <row r="24" spans="1:21" x14ac:dyDescent="0.25">
      <c r="A24" s="197" t="s">
        <v>123</v>
      </c>
      <c r="B24" s="194">
        <f>'Subject 2 - Adjustments'!F24</f>
        <v>12000</v>
      </c>
      <c r="C24" s="153">
        <f>'Subject 2 - Adjustments'!G24</f>
        <v>0</v>
      </c>
      <c r="D24" s="214">
        <f t="shared" si="0"/>
        <v>0</v>
      </c>
      <c r="E24" s="215">
        <f t="shared" si="1"/>
        <v>12000</v>
      </c>
      <c r="F24" s="194">
        <f t="shared" si="4"/>
        <v>0</v>
      </c>
      <c r="G24" s="153">
        <f t="shared" si="2"/>
        <v>0</v>
      </c>
      <c r="I24" s="211" t="s">
        <v>48</v>
      </c>
      <c r="K24" s="183">
        <f>J19</f>
        <v>2486.2000000000003</v>
      </c>
      <c r="N24" s="173"/>
      <c r="P24" s="172"/>
      <c r="R24" s="178"/>
      <c r="S24" s="175"/>
      <c r="T24" s="176"/>
      <c r="U24" s="174"/>
    </row>
    <row r="25" spans="1:21" x14ac:dyDescent="0.25">
      <c r="A25" s="197" t="s">
        <v>132</v>
      </c>
      <c r="B25" s="194">
        <f>'Subject 2 - Adjustments'!F25</f>
        <v>12750</v>
      </c>
      <c r="C25" s="153">
        <f>'Subject 2 - Adjustments'!G25</f>
        <v>0</v>
      </c>
      <c r="D25" s="214">
        <f t="shared" si="0"/>
        <v>0</v>
      </c>
      <c r="E25" s="215">
        <f t="shared" si="1"/>
        <v>12750</v>
      </c>
      <c r="F25" s="194">
        <f t="shared" si="4"/>
        <v>0</v>
      </c>
      <c r="G25" s="153">
        <f t="shared" si="2"/>
        <v>0</v>
      </c>
      <c r="I25" s="262" t="s">
        <v>174</v>
      </c>
      <c r="J25" s="262"/>
      <c r="K25" s="262"/>
      <c r="N25" s="173"/>
      <c r="P25" s="172"/>
      <c r="R25" s="145" t="s">
        <v>177</v>
      </c>
      <c r="S25" s="173">
        <f>SUM(S22:S24)-SUM(T22:T24)</f>
        <v>7090</v>
      </c>
    </row>
    <row r="26" spans="1:21" x14ac:dyDescent="0.25">
      <c r="A26" s="197" t="s">
        <v>124</v>
      </c>
      <c r="B26" s="194">
        <f>'Subject 2 - Adjustments'!F26</f>
        <v>1750</v>
      </c>
      <c r="C26" s="153">
        <f>'Subject 2 - Adjustments'!G26</f>
        <v>0</v>
      </c>
      <c r="D26" s="214">
        <f t="shared" si="0"/>
        <v>0</v>
      </c>
      <c r="E26" s="215">
        <f t="shared" si="1"/>
        <v>1750</v>
      </c>
      <c r="F26" s="194">
        <f t="shared" si="4"/>
        <v>0</v>
      </c>
      <c r="G26" s="153">
        <f t="shared" si="2"/>
        <v>0</v>
      </c>
      <c r="I26" s="181" t="s">
        <v>175</v>
      </c>
      <c r="J26" s="182"/>
      <c r="K26" s="182"/>
      <c r="N26" s="173"/>
      <c r="P26" s="172"/>
      <c r="R26" s="92"/>
      <c r="S26" s="92"/>
      <c r="T26" s="92"/>
      <c r="U26" s="92"/>
    </row>
    <row r="27" spans="1:21" x14ac:dyDescent="0.25">
      <c r="A27" s="197" t="s">
        <v>142</v>
      </c>
      <c r="B27" s="194">
        <f>'Subject 2 - Adjustments'!F27</f>
        <v>159</v>
      </c>
      <c r="C27" s="153">
        <f>'Subject 2 - Adjustments'!G27</f>
        <v>0</v>
      </c>
      <c r="D27" s="214">
        <f t="shared" si="0"/>
        <v>0</v>
      </c>
      <c r="E27" s="215">
        <f t="shared" si="1"/>
        <v>159</v>
      </c>
      <c r="F27" s="194">
        <f t="shared" si="4"/>
        <v>0</v>
      </c>
      <c r="G27" s="153">
        <f t="shared" si="2"/>
        <v>0</v>
      </c>
      <c r="I27" s="92" t="s">
        <v>1</v>
      </c>
      <c r="J27" s="183">
        <f>K7-J10-J23</f>
        <v>9944.7999999999993</v>
      </c>
      <c r="M27" s="174"/>
      <c r="N27" s="175"/>
      <c r="O27" s="176"/>
      <c r="P27" s="179"/>
      <c r="R27" s="258" t="str">
        <f>A7</f>
        <v>Allowance for doubtful accounts</v>
      </c>
      <c r="S27" s="258"/>
      <c r="T27" s="258"/>
      <c r="U27" s="258"/>
    </row>
    <row r="28" spans="1:21" x14ac:dyDescent="0.25">
      <c r="A28" s="197" t="s">
        <v>48</v>
      </c>
      <c r="B28" s="194">
        <f>'Subject 2 - Adjustments'!F28</f>
        <v>0</v>
      </c>
      <c r="C28" s="153">
        <f>'Subject 2 - Adjustments'!G28</f>
        <v>0</v>
      </c>
      <c r="D28" s="214">
        <f t="shared" si="0"/>
        <v>2486.2000000000003</v>
      </c>
      <c r="E28" s="215">
        <f t="shared" si="1"/>
        <v>2486.2000000000003</v>
      </c>
      <c r="F28" s="194">
        <f t="shared" ref="F28" si="8">IF(B28+D28&gt;C28+E28,B28-C28+D28-E28,0)</f>
        <v>0</v>
      </c>
      <c r="G28" s="153">
        <f t="shared" ref="G28" si="9">IF(B28+D28&gt;C28+E28,0,C28-B28+E28-D28)</f>
        <v>0</v>
      </c>
      <c r="I28" s="211" t="s">
        <v>12</v>
      </c>
      <c r="K28" s="183">
        <f>J27</f>
        <v>9944.7999999999993</v>
      </c>
      <c r="M28" s="145" t="s">
        <v>177</v>
      </c>
      <c r="N28" s="173">
        <f>SUM(N22:N27)-SUM(O22:O27)</f>
        <v>7500</v>
      </c>
      <c r="R28" s="177"/>
      <c r="S28" s="170"/>
      <c r="T28" s="171">
        <f>C7</f>
        <v>709</v>
      </c>
      <c r="U28" s="145" t="s">
        <v>155</v>
      </c>
    </row>
    <row r="29" spans="1:21" ht="16.5" thickBot="1" x14ac:dyDescent="0.3">
      <c r="A29" s="198" t="s">
        <v>1</v>
      </c>
      <c r="B29" s="199">
        <f>'Subject 2 - Adjustments'!F29</f>
        <v>0</v>
      </c>
      <c r="C29" s="200">
        <f>'Subject 2 - Adjustments'!G29</f>
        <v>0</v>
      </c>
      <c r="D29" s="216">
        <f t="shared" si="0"/>
        <v>107890</v>
      </c>
      <c r="E29" s="217">
        <f t="shared" si="1"/>
        <v>107890</v>
      </c>
      <c r="F29" s="199">
        <f t="shared" ref="F29" si="10">IF(B29+D29&gt;C29+E29,B29-C29+D29-E29,0)</f>
        <v>0</v>
      </c>
      <c r="G29" s="200">
        <f t="shared" ref="G29" si="11">IF(B29+D29&gt;C29+E29,0,C29-B29+E29-D29)</f>
        <v>0</v>
      </c>
      <c r="I29" s="262" t="s">
        <v>176</v>
      </c>
      <c r="J29" s="262"/>
      <c r="K29" s="262"/>
      <c r="R29" s="172"/>
      <c r="S29" s="173"/>
    </row>
    <row r="30" spans="1:21" ht="16.5" thickTop="1" x14ac:dyDescent="0.25">
      <c r="A30" s="203" t="s">
        <v>4</v>
      </c>
      <c r="B30" s="204">
        <f t="shared" ref="B30:G30" si="12">SUM(B5:B29)</f>
        <v>422799</v>
      </c>
      <c r="C30" s="205">
        <f t="shared" si="12"/>
        <v>422799</v>
      </c>
      <c r="D30" s="218">
        <f t="shared" si="12"/>
        <v>218266.2</v>
      </c>
      <c r="E30" s="219">
        <f t="shared" si="12"/>
        <v>218266.2</v>
      </c>
      <c r="F30" s="208">
        <f t="shared" si="12"/>
        <v>327340</v>
      </c>
      <c r="G30" s="209">
        <f t="shared" si="12"/>
        <v>327340</v>
      </c>
      <c r="I30" s="184" t="s">
        <v>4</v>
      </c>
      <c r="J30" s="185">
        <f>SUM(J4:J29)</f>
        <v>218266.2</v>
      </c>
      <c r="K30" s="185">
        <f>SUM(K4:K29)</f>
        <v>218266.2</v>
      </c>
      <c r="R30" s="178"/>
      <c r="S30" s="175"/>
      <c r="T30" s="176"/>
      <c r="U30" s="174"/>
    </row>
    <row r="31" spans="1:21" x14ac:dyDescent="0.25">
      <c r="R31" s="177"/>
      <c r="S31" s="173"/>
      <c r="T31" s="171">
        <f>SUM(T28:T30)-SUM(S28:S30)</f>
        <v>709</v>
      </c>
      <c r="U31" s="145" t="s">
        <v>177</v>
      </c>
    </row>
    <row r="33" spans="2:21" x14ac:dyDescent="0.25">
      <c r="B33" s="92"/>
      <c r="M33" s="259" t="s">
        <v>127</v>
      </c>
      <c r="N33" s="259"/>
      <c r="O33" s="259"/>
      <c r="P33" s="259"/>
      <c r="Q33" s="259"/>
      <c r="R33" s="259"/>
      <c r="S33" s="259"/>
      <c r="T33" s="259"/>
      <c r="U33" s="259"/>
    </row>
    <row r="34" spans="2:21" x14ac:dyDescent="0.25">
      <c r="M34" s="258" t="str">
        <f>A14</f>
        <v>Share capital</v>
      </c>
      <c r="N34" s="258"/>
      <c r="O34" s="258"/>
      <c r="P34" s="258"/>
      <c r="R34" s="258" t="str">
        <f>A15</f>
        <v>Retained earnings</v>
      </c>
      <c r="S34" s="258"/>
      <c r="T34" s="258"/>
      <c r="U34" s="258"/>
    </row>
    <row r="35" spans="2:21" x14ac:dyDescent="0.25">
      <c r="N35" s="170"/>
      <c r="O35" s="171">
        <f>C14</f>
        <v>200000</v>
      </c>
      <c r="P35" s="145" t="s">
        <v>155</v>
      </c>
      <c r="S35" s="170"/>
      <c r="T35" s="171">
        <f>C15</f>
        <v>41000</v>
      </c>
      <c r="U35" s="145" t="s">
        <v>155</v>
      </c>
    </row>
    <row r="36" spans="2:21" x14ac:dyDescent="0.25">
      <c r="N36" s="173"/>
      <c r="P36" s="172"/>
      <c r="R36" s="177"/>
      <c r="S36" s="173"/>
      <c r="T36" s="171">
        <f>K28</f>
        <v>9944.7999999999993</v>
      </c>
      <c r="U36" s="172" t="s">
        <v>179</v>
      </c>
    </row>
    <row r="37" spans="2:21" x14ac:dyDescent="0.25">
      <c r="M37" s="174"/>
      <c r="N37" s="175"/>
      <c r="O37" s="176"/>
      <c r="P37" s="174"/>
      <c r="R37" s="174"/>
      <c r="S37" s="175"/>
      <c r="T37" s="176"/>
      <c r="U37" s="174"/>
    </row>
    <row r="38" spans="2:21" x14ac:dyDescent="0.25">
      <c r="N38" s="173"/>
      <c r="O38" s="171">
        <f>SUM(O35:O37)-SUM(N35:N37)</f>
        <v>200000</v>
      </c>
      <c r="P38" s="145" t="s">
        <v>177</v>
      </c>
      <c r="S38" s="173"/>
      <c r="T38" s="171">
        <f>SUM(T35:T37)-SUM(S35:S37)</f>
        <v>50944.800000000003</v>
      </c>
      <c r="U38" s="145" t="s">
        <v>177</v>
      </c>
    </row>
    <row r="40" spans="2:21" x14ac:dyDescent="0.25">
      <c r="M40" s="258" t="str">
        <f>A16</f>
        <v>Unearned revenue</v>
      </c>
      <c r="N40" s="258"/>
      <c r="O40" s="258"/>
      <c r="P40" s="258"/>
      <c r="R40" s="258" t="str">
        <f>A17</f>
        <v>Salaries and wages payable</v>
      </c>
      <c r="S40" s="258"/>
      <c r="T40" s="258"/>
      <c r="U40" s="258"/>
    </row>
    <row r="41" spans="2:21" x14ac:dyDescent="0.25">
      <c r="N41" s="170"/>
      <c r="O41" s="171">
        <f>C16</f>
        <v>4450</v>
      </c>
      <c r="P41" s="145" t="s">
        <v>155</v>
      </c>
      <c r="S41" s="170"/>
      <c r="T41" s="171">
        <f>C17</f>
        <v>1800</v>
      </c>
      <c r="U41" s="145" t="s">
        <v>155</v>
      </c>
    </row>
    <row r="42" spans="2:21" x14ac:dyDescent="0.25">
      <c r="N42" s="173"/>
      <c r="P42" s="172"/>
      <c r="S42" s="173"/>
      <c r="U42" s="172"/>
    </row>
    <row r="43" spans="2:21" x14ac:dyDescent="0.25">
      <c r="M43" s="179"/>
      <c r="N43" s="175"/>
      <c r="O43" s="176"/>
      <c r="P43" s="179"/>
      <c r="R43" s="179"/>
      <c r="S43" s="175"/>
      <c r="T43" s="176"/>
      <c r="U43" s="179"/>
    </row>
    <row r="44" spans="2:21" x14ac:dyDescent="0.25">
      <c r="N44" s="173"/>
      <c r="O44" s="171">
        <f>SUM(O41:O43)-SUM(N41:N43)</f>
        <v>4450</v>
      </c>
      <c r="P44" s="145" t="s">
        <v>177</v>
      </c>
      <c r="S44" s="173"/>
      <c r="T44" s="171">
        <f>SUM(T41:T43)-SUM(S41:S43)</f>
        <v>1800</v>
      </c>
      <c r="U44" s="145" t="s">
        <v>177</v>
      </c>
    </row>
    <row r="46" spans="2:21" x14ac:dyDescent="0.25">
      <c r="M46" s="258" t="str">
        <f>A18</f>
        <v>Taxes payable</v>
      </c>
      <c r="N46" s="258"/>
      <c r="O46" s="258"/>
      <c r="P46" s="258"/>
    </row>
    <row r="47" spans="2:21" x14ac:dyDescent="0.25">
      <c r="N47" s="170"/>
      <c r="O47" s="171">
        <f>C22</f>
        <v>0</v>
      </c>
      <c r="P47" s="145" t="s">
        <v>155</v>
      </c>
    </row>
    <row r="48" spans="2:21" x14ac:dyDescent="0.25">
      <c r="N48" s="173"/>
      <c r="O48" s="171">
        <f>K20</f>
        <v>2486.2000000000003</v>
      </c>
      <c r="P48" s="172" t="s">
        <v>91</v>
      </c>
    </row>
    <row r="49" spans="13:21" x14ac:dyDescent="0.25">
      <c r="M49" s="179"/>
      <c r="N49" s="175"/>
      <c r="O49" s="176"/>
      <c r="P49" s="179"/>
    </row>
    <row r="50" spans="13:21" x14ac:dyDescent="0.25">
      <c r="N50" s="173"/>
      <c r="O50" s="171">
        <f>SUM(O47:O49)-SUM(N47:N49)</f>
        <v>2486.2000000000003</v>
      </c>
      <c r="P50" s="145" t="s">
        <v>177</v>
      </c>
    </row>
    <row r="52" spans="13:21" x14ac:dyDescent="0.25">
      <c r="M52" s="259" t="s">
        <v>128</v>
      </c>
      <c r="N52" s="259"/>
      <c r="O52" s="259"/>
      <c r="P52" s="259"/>
      <c r="Q52" s="259"/>
      <c r="R52" s="259"/>
      <c r="S52" s="259"/>
      <c r="T52" s="259"/>
      <c r="U52" s="259"/>
    </row>
    <row r="53" spans="13:21" x14ac:dyDescent="0.25">
      <c r="M53" s="258" t="str">
        <f>A19</f>
        <v>Revenues from accommodation</v>
      </c>
      <c r="N53" s="258"/>
      <c r="O53" s="258"/>
      <c r="P53" s="258"/>
      <c r="R53" s="258" t="str">
        <f>A20</f>
        <v>Revenues from renting hotel facilities</v>
      </c>
      <c r="S53" s="258"/>
      <c r="T53" s="258"/>
      <c r="U53" s="258"/>
    </row>
    <row r="54" spans="13:21" x14ac:dyDescent="0.25">
      <c r="N54" s="170"/>
      <c r="O54" s="171">
        <f>C19</f>
        <v>95550</v>
      </c>
      <c r="P54" s="145" t="s">
        <v>155</v>
      </c>
      <c r="S54" s="170"/>
      <c r="T54" s="171">
        <f>C20</f>
        <v>3540</v>
      </c>
      <c r="U54" s="145" t="s">
        <v>155</v>
      </c>
    </row>
    <row r="55" spans="13:21" x14ac:dyDescent="0.25">
      <c r="M55" s="145" t="s">
        <v>86</v>
      </c>
      <c r="N55" s="173">
        <f>J4</f>
        <v>95550</v>
      </c>
      <c r="P55" s="172"/>
      <c r="R55" s="145" t="s">
        <v>86</v>
      </c>
      <c r="S55" s="173">
        <f>J5</f>
        <v>3540</v>
      </c>
      <c r="U55" s="172"/>
    </row>
    <row r="56" spans="13:21" x14ac:dyDescent="0.25">
      <c r="M56" s="174"/>
      <c r="N56" s="175"/>
      <c r="O56" s="176"/>
      <c r="P56" s="179"/>
      <c r="R56" s="174"/>
      <c r="S56" s="175"/>
      <c r="T56" s="176"/>
      <c r="U56" s="179"/>
    </row>
    <row r="57" spans="13:21" x14ac:dyDescent="0.25">
      <c r="N57" s="173"/>
      <c r="O57" s="171">
        <f>SUM(O54:O56)-SUM(N54:N56)</f>
        <v>0</v>
      </c>
      <c r="P57" s="145" t="s">
        <v>177</v>
      </c>
      <c r="S57" s="173"/>
      <c r="T57" s="171">
        <f>SUM(T54:T56)-SUM(S54:S56)</f>
        <v>0</v>
      </c>
      <c r="U57" s="145" t="s">
        <v>177</v>
      </c>
    </row>
    <row r="59" spans="13:21" x14ac:dyDescent="0.25">
      <c r="M59" s="258" t="str">
        <f>A21</f>
        <v>Revenues from restaurants</v>
      </c>
      <c r="N59" s="258"/>
      <c r="O59" s="258"/>
      <c r="P59" s="258"/>
      <c r="Q59" s="92"/>
      <c r="R59" s="258" t="str">
        <f>A22</f>
        <v>Utilities expense</v>
      </c>
      <c r="S59" s="258"/>
      <c r="T59" s="258"/>
      <c r="U59" s="258"/>
    </row>
    <row r="60" spans="13:21" x14ac:dyDescent="0.25">
      <c r="N60" s="170"/>
      <c r="O60" s="171">
        <f>C21</f>
        <v>8800</v>
      </c>
      <c r="P60" s="145" t="s">
        <v>155</v>
      </c>
      <c r="Q60" s="92"/>
      <c r="R60" s="145" t="s">
        <v>155</v>
      </c>
      <c r="S60" s="170">
        <f>B22</f>
        <v>27000</v>
      </c>
    </row>
    <row r="61" spans="13:21" x14ac:dyDescent="0.25">
      <c r="M61" s="145" t="s">
        <v>86</v>
      </c>
      <c r="N61" s="173">
        <f>J6</f>
        <v>8800</v>
      </c>
      <c r="P61" s="172"/>
      <c r="Q61" s="92"/>
      <c r="R61" s="172"/>
      <c r="S61" s="173"/>
      <c r="T61" s="171">
        <f>K11</f>
        <v>27000</v>
      </c>
      <c r="U61" s="145" t="s">
        <v>88</v>
      </c>
    </row>
    <row r="62" spans="13:21" x14ac:dyDescent="0.25">
      <c r="M62" s="174"/>
      <c r="N62" s="175"/>
      <c r="O62" s="176"/>
      <c r="P62" s="179"/>
      <c r="Q62" s="92"/>
      <c r="R62" s="178"/>
      <c r="S62" s="175"/>
      <c r="T62" s="176"/>
      <c r="U62" s="174"/>
    </row>
    <row r="63" spans="13:21" x14ac:dyDescent="0.25">
      <c r="N63" s="173"/>
      <c r="O63" s="171">
        <f>SUM(O60:O62)-SUM(N60:N62)</f>
        <v>0</v>
      </c>
      <c r="P63" s="145" t="s">
        <v>177</v>
      </c>
      <c r="Q63" s="92"/>
      <c r="R63" s="145" t="s">
        <v>177</v>
      </c>
      <c r="S63" s="173">
        <f>SUM(S60:S62)-SUM(T60:T62)</f>
        <v>0</v>
      </c>
    </row>
    <row r="65" spans="13:21" x14ac:dyDescent="0.25">
      <c r="M65" s="258" t="str">
        <f>A23</f>
        <v>Salaries and wages expense</v>
      </c>
      <c r="N65" s="258"/>
      <c r="O65" s="258"/>
      <c r="P65" s="258"/>
      <c r="R65" s="258" t="str">
        <f>A24</f>
        <v>Maintenance and repairs expense</v>
      </c>
      <c r="S65" s="258"/>
      <c r="T65" s="258"/>
      <c r="U65" s="258"/>
    </row>
    <row r="66" spans="13:21" x14ac:dyDescent="0.25">
      <c r="M66" s="145" t="s">
        <v>155</v>
      </c>
      <c r="N66" s="170">
        <f>B23</f>
        <v>41800</v>
      </c>
      <c r="R66" s="145" t="s">
        <v>155</v>
      </c>
      <c r="S66" s="170">
        <f>B24</f>
        <v>12000</v>
      </c>
    </row>
    <row r="67" spans="13:21" x14ac:dyDescent="0.25">
      <c r="M67" s="172"/>
      <c r="N67" s="173"/>
      <c r="O67" s="171">
        <f>K12</f>
        <v>41800</v>
      </c>
      <c r="P67" s="145" t="s">
        <v>88</v>
      </c>
      <c r="R67" s="172"/>
      <c r="S67" s="173"/>
      <c r="T67" s="171">
        <f>K13</f>
        <v>12000</v>
      </c>
      <c r="U67" s="145" t="s">
        <v>88</v>
      </c>
    </row>
    <row r="68" spans="13:21" x14ac:dyDescent="0.25">
      <c r="M68" s="178"/>
      <c r="N68" s="175"/>
      <c r="O68" s="176"/>
      <c r="P68" s="174"/>
      <c r="R68" s="178"/>
      <c r="S68" s="175"/>
      <c r="T68" s="176"/>
      <c r="U68" s="174"/>
    </row>
    <row r="69" spans="13:21" x14ac:dyDescent="0.25">
      <c r="M69" s="145" t="s">
        <v>177</v>
      </c>
      <c r="N69" s="173">
        <f>SUM(N66:N68)-SUM(O66:O68)</f>
        <v>0</v>
      </c>
      <c r="R69" s="145" t="s">
        <v>177</v>
      </c>
      <c r="S69" s="173">
        <f>SUM(S66:S68)-SUM(T66:T68)</f>
        <v>0</v>
      </c>
    </row>
    <row r="71" spans="13:21" x14ac:dyDescent="0.25">
      <c r="M71" s="258" t="str">
        <f>A25</f>
        <v>Depreciation expense</v>
      </c>
      <c r="N71" s="258"/>
      <c r="O71" s="258"/>
      <c r="P71" s="258"/>
      <c r="R71" s="258" t="str">
        <f>A26</f>
        <v>Insurance expense</v>
      </c>
      <c r="S71" s="258"/>
      <c r="T71" s="258"/>
      <c r="U71" s="258"/>
    </row>
    <row r="72" spans="13:21" x14ac:dyDescent="0.25">
      <c r="M72" s="145" t="s">
        <v>155</v>
      </c>
      <c r="N72" s="170">
        <f>B25</f>
        <v>12750</v>
      </c>
      <c r="R72" s="145" t="s">
        <v>155</v>
      </c>
      <c r="S72" s="170">
        <f>B26</f>
        <v>1750</v>
      </c>
    </row>
    <row r="73" spans="13:21" x14ac:dyDescent="0.25">
      <c r="M73" s="172"/>
      <c r="N73" s="173"/>
      <c r="O73" s="171">
        <f>K14</f>
        <v>12750</v>
      </c>
      <c r="P73" s="145" t="s">
        <v>88</v>
      </c>
      <c r="R73" s="172"/>
      <c r="S73" s="173"/>
      <c r="T73" s="171">
        <f>K15</f>
        <v>1750</v>
      </c>
      <c r="U73" s="145" t="s">
        <v>88</v>
      </c>
    </row>
    <row r="74" spans="13:21" x14ac:dyDescent="0.25">
      <c r="M74" s="178"/>
      <c r="N74" s="175"/>
      <c r="O74" s="176"/>
      <c r="P74" s="174"/>
      <c r="R74" s="178"/>
      <c r="S74" s="175"/>
      <c r="T74" s="176"/>
      <c r="U74" s="174"/>
    </row>
    <row r="75" spans="13:21" x14ac:dyDescent="0.25">
      <c r="M75" s="145" t="s">
        <v>177</v>
      </c>
      <c r="N75" s="173">
        <f>SUM(N72:N74)-SUM(O72:O74)</f>
        <v>0</v>
      </c>
      <c r="R75" s="145" t="s">
        <v>177</v>
      </c>
      <c r="S75" s="173">
        <f>SUM(S72:S74)-SUM(T72:T74)</f>
        <v>0</v>
      </c>
    </row>
    <row r="77" spans="13:21" x14ac:dyDescent="0.25">
      <c r="M77" s="258" t="str">
        <f>A27</f>
        <v>Bad debt expense</v>
      </c>
      <c r="N77" s="258"/>
      <c r="O77" s="258"/>
      <c r="P77" s="258"/>
      <c r="R77" s="258" t="str">
        <f>A28</f>
        <v>Income Tax</v>
      </c>
      <c r="S77" s="258"/>
      <c r="T77" s="258"/>
      <c r="U77" s="258"/>
    </row>
    <row r="78" spans="13:21" x14ac:dyDescent="0.25">
      <c r="M78" s="145" t="s">
        <v>155</v>
      </c>
      <c r="N78" s="170">
        <f>B27</f>
        <v>159</v>
      </c>
      <c r="R78" s="145" t="s">
        <v>155</v>
      </c>
      <c r="S78" s="170">
        <f>B28</f>
        <v>0</v>
      </c>
    </row>
    <row r="79" spans="13:21" x14ac:dyDescent="0.25">
      <c r="M79" s="172"/>
      <c r="N79" s="173"/>
      <c r="O79" s="171">
        <f>K16</f>
        <v>159</v>
      </c>
      <c r="P79" s="145" t="s">
        <v>88</v>
      </c>
      <c r="R79" s="172" t="s">
        <v>91</v>
      </c>
      <c r="S79" s="173">
        <f>J19</f>
        <v>2486.2000000000003</v>
      </c>
    </row>
    <row r="80" spans="13:21" x14ac:dyDescent="0.25">
      <c r="M80" s="178"/>
      <c r="N80" s="175"/>
      <c r="O80" s="176"/>
      <c r="P80" s="174"/>
      <c r="R80" s="178"/>
      <c r="S80" s="175"/>
      <c r="T80" s="176">
        <f>K24</f>
        <v>2486.2000000000003</v>
      </c>
      <c r="U80" s="174" t="s">
        <v>178</v>
      </c>
    </row>
    <row r="81" spans="13:19" x14ac:dyDescent="0.25">
      <c r="M81" s="145" t="s">
        <v>177</v>
      </c>
      <c r="N81" s="173">
        <f>SUM(N78:N80)-SUM(O78:O80)</f>
        <v>0</v>
      </c>
      <c r="R81" s="145" t="s">
        <v>177</v>
      </c>
      <c r="S81" s="173">
        <f>SUM(S78:S80)-SUM(T78:T80)</f>
        <v>0</v>
      </c>
    </row>
    <row r="83" spans="13:19" x14ac:dyDescent="0.25">
      <c r="M83" s="258" t="str">
        <f>A29</f>
        <v>Net Income</v>
      </c>
      <c r="N83" s="258"/>
      <c r="O83" s="258"/>
      <c r="P83" s="258"/>
    </row>
    <row r="84" spans="13:19" x14ac:dyDescent="0.25">
      <c r="N84" s="170"/>
      <c r="O84" s="171">
        <f>C29</f>
        <v>0</v>
      </c>
      <c r="P84" s="145" t="s">
        <v>155</v>
      </c>
    </row>
    <row r="85" spans="13:19" x14ac:dyDescent="0.25">
      <c r="N85" s="173"/>
      <c r="O85" s="171">
        <f>K7</f>
        <v>107890</v>
      </c>
      <c r="P85" s="172" t="s">
        <v>86</v>
      </c>
    </row>
    <row r="86" spans="13:19" x14ac:dyDescent="0.25">
      <c r="M86" s="145" t="s">
        <v>88</v>
      </c>
      <c r="N86" s="173">
        <f>J10</f>
        <v>95459</v>
      </c>
      <c r="P86" s="172"/>
    </row>
    <row r="87" spans="13:19" x14ac:dyDescent="0.25">
      <c r="M87" s="174" t="s">
        <v>178</v>
      </c>
      <c r="N87" s="175">
        <f>J23</f>
        <v>2486.2000000000003</v>
      </c>
      <c r="O87" s="176"/>
      <c r="P87" s="179"/>
    </row>
    <row r="88" spans="13:19" x14ac:dyDescent="0.25">
      <c r="M88" s="145" t="s">
        <v>179</v>
      </c>
      <c r="N88" s="173">
        <f>J27</f>
        <v>9944.7999999999993</v>
      </c>
      <c r="O88" s="171">
        <f>SUM(O84:O87)-SUM(N84:N87)</f>
        <v>9944.8000000000029</v>
      </c>
      <c r="P88" s="145" t="s">
        <v>177</v>
      </c>
    </row>
  </sheetData>
  <mergeCells count="41">
    <mergeCell ref="B3:C3"/>
    <mergeCell ref="D3:E3"/>
    <mergeCell ref="F3:G3"/>
    <mergeCell ref="I21:K21"/>
    <mergeCell ref="I1:K1"/>
    <mergeCell ref="M1:U1"/>
    <mergeCell ref="B2:C2"/>
    <mergeCell ref="D2:E2"/>
    <mergeCell ref="F2:G2"/>
    <mergeCell ref="M2:U2"/>
    <mergeCell ref="I25:K25"/>
    <mergeCell ref="M21:P21"/>
    <mergeCell ref="R21:U21"/>
    <mergeCell ref="M3:P3"/>
    <mergeCell ref="R3:U3"/>
    <mergeCell ref="I8:K8"/>
    <mergeCell ref="M9:P9"/>
    <mergeCell ref="R9:U9"/>
    <mergeCell ref="I17:K17"/>
    <mergeCell ref="M53:P53"/>
    <mergeCell ref="R53:U53"/>
    <mergeCell ref="R27:U27"/>
    <mergeCell ref="M33:U33"/>
    <mergeCell ref="M15:P15"/>
    <mergeCell ref="R15:U15"/>
    <mergeCell ref="M77:P77"/>
    <mergeCell ref="I29:K29"/>
    <mergeCell ref="M46:P46"/>
    <mergeCell ref="R77:U77"/>
    <mergeCell ref="M83:P83"/>
    <mergeCell ref="M59:P59"/>
    <mergeCell ref="R59:U59"/>
    <mergeCell ref="M65:P65"/>
    <mergeCell ref="R65:U65"/>
    <mergeCell ref="M71:P71"/>
    <mergeCell ref="R71:U71"/>
    <mergeCell ref="M34:P34"/>
    <mergeCell ref="R34:U34"/>
    <mergeCell ref="M40:P40"/>
    <mergeCell ref="R40:U40"/>
    <mergeCell ref="M52:U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5A38F-1E0F-438C-A2D1-818B64C4DA96}">
  <dimension ref="A1:Y27"/>
  <sheetViews>
    <sheetView showGridLines="0" tabSelected="1" topLeftCell="A10" workbookViewId="0">
      <selection activeCell="F18" sqref="F18"/>
    </sheetView>
  </sheetViews>
  <sheetFormatPr defaultColWidth="8.85546875" defaultRowHeight="15.75" x14ac:dyDescent="0.25"/>
  <cols>
    <col min="1" max="1" width="8.85546875" style="92"/>
    <col min="2" max="2" width="41.140625" style="92" customWidth="1"/>
    <col min="3" max="3" width="13.7109375" style="150" customWidth="1"/>
    <col min="4" max="4" width="11.7109375" style="150" customWidth="1"/>
    <col min="5" max="6" width="11" style="150" customWidth="1"/>
    <col min="7" max="7" width="13.42578125" style="150" customWidth="1"/>
    <col min="8" max="8" width="13.7109375" style="150" customWidth="1"/>
    <col min="9" max="10" width="13.5703125" style="150" customWidth="1"/>
    <col min="11" max="11" width="11" style="150" customWidth="1"/>
    <col min="12" max="15" width="10" style="92" bestFit="1" customWidth="1"/>
    <col min="16" max="17" width="11" style="92" customWidth="1"/>
    <col min="18" max="21" width="11" style="150" bestFit="1" customWidth="1"/>
    <col min="22" max="23" width="11" style="150" customWidth="1"/>
    <col min="24" max="25" width="11" style="150" bestFit="1" customWidth="1"/>
    <col min="26" max="26" width="14.42578125" style="92" bestFit="1" customWidth="1"/>
    <col min="27" max="27" width="11.7109375" style="92" bestFit="1" customWidth="1"/>
    <col min="28" max="16384" width="8.85546875" style="92"/>
  </cols>
  <sheetData>
    <row r="1" spans="1:25" s="140" customFormat="1" ht="31.5" x14ac:dyDescent="0.25">
      <c r="B1" s="141"/>
      <c r="C1" s="142" t="s">
        <v>70</v>
      </c>
      <c r="D1" s="142" t="s">
        <v>65</v>
      </c>
      <c r="E1" s="143" t="s">
        <v>35</v>
      </c>
      <c r="F1" s="143" t="s">
        <v>71</v>
      </c>
      <c r="G1" s="144" t="s">
        <v>80</v>
      </c>
      <c r="H1" s="144" t="s">
        <v>81</v>
      </c>
      <c r="I1" s="144" t="s">
        <v>82</v>
      </c>
      <c r="J1" s="144" t="s">
        <v>83</v>
      </c>
      <c r="K1" s="144"/>
      <c r="R1" s="145"/>
      <c r="S1" s="145"/>
      <c r="T1" s="145"/>
      <c r="U1" s="145"/>
      <c r="V1" s="145"/>
      <c r="W1" s="145"/>
      <c r="X1" s="145"/>
      <c r="Y1" s="145"/>
    </row>
    <row r="2" spans="1:25" x14ac:dyDescent="0.25">
      <c r="B2" s="146" t="s">
        <v>78</v>
      </c>
      <c r="C2" s="147">
        <v>50000</v>
      </c>
      <c r="D2" s="148">
        <v>10</v>
      </c>
      <c r="E2" s="147">
        <v>2000</v>
      </c>
      <c r="F2" s="147">
        <f>(C2-E2)/D2</f>
        <v>4800</v>
      </c>
      <c r="G2" s="160">
        <f>F2*10/12</f>
        <v>4000</v>
      </c>
      <c r="H2" s="160">
        <f>F2*6/12</f>
        <v>2400</v>
      </c>
      <c r="I2" s="160">
        <f>F2*5/12</f>
        <v>2000</v>
      </c>
      <c r="J2" s="160">
        <f>F2*10/12</f>
        <v>4000</v>
      </c>
      <c r="K2" s="149"/>
    </row>
    <row r="3" spans="1:25" ht="16.5" thickBot="1" x14ac:dyDescent="0.3"/>
    <row r="4" spans="1:25" ht="16.5" thickBot="1" x14ac:dyDescent="0.3">
      <c r="A4" s="296" t="s">
        <v>13</v>
      </c>
      <c r="B4" s="297" t="s">
        <v>94</v>
      </c>
      <c r="C4" s="298" t="s">
        <v>6</v>
      </c>
      <c r="D4" s="299" t="s">
        <v>7</v>
      </c>
    </row>
    <row r="5" spans="1:25" x14ac:dyDescent="0.25">
      <c r="A5" s="300" t="s">
        <v>184</v>
      </c>
      <c r="B5" s="301" t="s">
        <v>132</v>
      </c>
      <c r="C5" s="302">
        <f>I2</f>
        <v>2000</v>
      </c>
      <c r="D5" s="303"/>
    </row>
    <row r="6" spans="1:25" x14ac:dyDescent="0.25">
      <c r="A6" s="289"/>
      <c r="B6" s="157" t="s">
        <v>84</v>
      </c>
      <c r="C6" s="156"/>
      <c r="D6" s="290">
        <f>C5</f>
        <v>2000</v>
      </c>
    </row>
    <row r="7" spans="1:25" x14ac:dyDescent="0.25">
      <c r="A7" s="291"/>
      <c r="B7" s="279" t="s">
        <v>185</v>
      </c>
      <c r="C7" s="279"/>
      <c r="D7" s="292"/>
    </row>
    <row r="8" spans="1:25" x14ac:dyDescent="0.25">
      <c r="A8" s="287" t="s">
        <v>186</v>
      </c>
      <c r="B8" s="151" t="s">
        <v>79</v>
      </c>
      <c r="C8" s="152">
        <v>30000</v>
      </c>
      <c r="D8" s="288"/>
    </row>
    <row r="9" spans="1:25" x14ac:dyDescent="0.25">
      <c r="A9" s="289"/>
      <c r="B9" s="154" t="s">
        <v>84</v>
      </c>
      <c r="C9" s="155">
        <f>G2+2*F2+I2</f>
        <v>15600</v>
      </c>
      <c r="D9" s="288"/>
    </row>
    <row r="10" spans="1:25" x14ac:dyDescent="0.25">
      <c r="A10" s="289"/>
      <c r="B10" s="156" t="s">
        <v>85</v>
      </c>
      <c r="C10" s="155">
        <f>D11-C8-C9</f>
        <v>4400</v>
      </c>
      <c r="D10" s="288"/>
    </row>
    <row r="11" spans="1:25" x14ac:dyDescent="0.25">
      <c r="A11" s="289"/>
      <c r="B11" s="157" t="s">
        <v>77</v>
      </c>
      <c r="C11" s="156"/>
      <c r="D11" s="290">
        <f>C2</f>
        <v>50000</v>
      </c>
    </row>
    <row r="12" spans="1:25" ht="16.5" thickBot="1" x14ac:dyDescent="0.3">
      <c r="A12" s="293"/>
      <c r="B12" s="294" t="s">
        <v>87</v>
      </c>
      <c r="C12" s="294"/>
      <c r="D12" s="295"/>
    </row>
    <row r="13" spans="1:25" x14ac:dyDescent="0.25">
      <c r="A13" s="300" t="s">
        <v>187</v>
      </c>
      <c r="B13" s="301" t="s">
        <v>132</v>
      </c>
      <c r="C13" s="302">
        <f>J2</f>
        <v>4000</v>
      </c>
      <c r="D13" s="303"/>
    </row>
    <row r="14" spans="1:25" x14ac:dyDescent="0.25">
      <c r="A14" s="289"/>
      <c r="B14" s="157" t="s">
        <v>84</v>
      </c>
      <c r="C14" s="156"/>
      <c r="D14" s="290">
        <f>C13</f>
        <v>4000</v>
      </c>
    </row>
    <row r="15" spans="1:25" x14ac:dyDescent="0.25">
      <c r="A15" s="291"/>
      <c r="B15" s="279" t="s">
        <v>189</v>
      </c>
      <c r="C15" s="279"/>
      <c r="D15" s="292"/>
    </row>
    <row r="16" spans="1:25" x14ac:dyDescent="0.25">
      <c r="A16" s="289" t="s">
        <v>188</v>
      </c>
      <c r="B16" s="154" t="s">
        <v>34</v>
      </c>
      <c r="C16" s="155">
        <v>32000</v>
      </c>
      <c r="D16" s="288"/>
    </row>
    <row r="17" spans="1:4" x14ac:dyDescent="0.25">
      <c r="A17" s="289"/>
      <c r="B17" s="154" t="s">
        <v>84</v>
      </c>
      <c r="C17" s="155">
        <f>G2+3*F2+J2</f>
        <v>22400</v>
      </c>
      <c r="D17" s="288"/>
    </row>
    <row r="18" spans="1:4" x14ac:dyDescent="0.25">
      <c r="A18" s="289"/>
      <c r="B18" s="158" t="s">
        <v>89</v>
      </c>
      <c r="C18" s="159"/>
      <c r="D18" s="290">
        <f>C16+C17-D19</f>
        <v>4400</v>
      </c>
    </row>
    <row r="19" spans="1:4" x14ac:dyDescent="0.25">
      <c r="A19" s="289"/>
      <c r="B19" s="157" t="s">
        <v>77</v>
      </c>
      <c r="C19" s="156"/>
      <c r="D19" s="290">
        <f>C2</f>
        <v>50000</v>
      </c>
    </row>
    <row r="20" spans="1:4" ht="16.5" thickBot="1" x14ac:dyDescent="0.3">
      <c r="A20" s="293"/>
      <c r="B20" s="294" t="s">
        <v>90</v>
      </c>
      <c r="C20" s="294"/>
      <c r="D20" s="295"/>
    </row>
    <row r="21" spans="1:4" x14ac:dyDescent="0.25">
      <c r="A21" s="300" t="s">
        <v>190</v>
      </c>
      <c r="B21" s="301" t="s">
        <v>132</v>
      </c>
      <c r="C21" s="302">
        <f>H2</f>
        <v>2400</v>
      </c>
      <c r="D21" s="303"/>
    </row>
    <row r="22" spans="1:4" x14ac:dyDescent="0.25">
      <c r="A22" s="289"/>
      <c r="B22" s="157" t="s">
        <v>84</v>
      </c>
      <c r="C22" s="156"/>
      <c r="D22" s="290">
        <f>C21</f>
        <v>2400</v>
      </c>
    </row>
    <row r="23" spans="1:4" x14ac:dyDescent="0.25">
      <c r="A23" s="291"/>
      <c r="B23" s="279" t="s">
        <v>192</v>
      </c>
      <c r="C23" s="279"/>
      <c r="D23" s="292"/>
    </row>
    <row r="24" spans="1:4" x14ac:dyDescent="0.25">
      <c r="A24" s="289" t="s">
        <v>191</v>
      </c>
      <c r="B24" s="154" t="s">
        <v>92</v>
      </c>
      <c r="C24" s="155">
        <f>D26-C25</f>
        <v>38800</v>
      </c>
      <c r="D24" s="288"/>
    </row>
    <row r="25" spans="1:4" x14ac:dyDescent="0.25">
      <c r="A25" s="289"/>
      <c r="B25" s="154" t="s">
        <v>84</v>
      </c>
      <c r="C25" s="155">
        <f>G2+F2+H2</f>
        <v>11200</v>
      </c>
      <c r="D25" s="288"/>
    </row>
    <row r="26" spans="1:4" x14ac:dyDescent="0.25">
      <c r="A26" s="289"/>
      <c r="B26" s="157" t="s">
        <v>77</v>
      </c>
      <c r="C26" s="156"/>
      <c r="D26" s="290">
        <f>C2</f>
        <v>50000</v>
      </c>
    </row>
    <row r="27" spans="1:4" ht="16.5" thickBot="1" x14ac:dyDescent="0.3">
      <c r="A27" s="293"/>
      <c r="B27" s="294" t="s">
        <v>93</v>
      </c>
      <c r="C27" s="294"/>
      <c r="D27" s="295"/>
    </row>
  </sheetData>
  <mergeCells count="12">
    <mergeCell ref="A5:A7"/>
    <mergeCell ref="B7:D7"/>
    <mergeCell ref="A13:A15"/>
    <mergeCell ref="B15:D15"/>
    <mergeCell ref="A8:A12"/>
    <mergeCell ref="B12:D12"/>
    <mergeCell ref="A16:A20"/>
    <mergeCell ref="B20:D20"/>
    <mergeCell ref="A24:A27"/>
    <mergeCell ref="B27:D27"/>
    <mergeCell ref="A21:A23"/>
    <mergeCell ref="B23:D23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C2334-544F-4BFE-B261-5A07E04AF0A4}">
  <dimension ref="A1:AO21"/>
  <sheetViews>
    <sheetView showGridLines="0" topLeftCell="X1" workbookViewId="0">
      <selection activeCell="Z7" sqref="Z7"/>
    </sheetView>
  </sheetViews>
  <sheetFormatPr defaultColWidth="12.42578125" defaultRowHeight="15.75" x14ac:dyDescent="0.25"/>
  <cols>
    <col min="1" max="1" width="28.5703125" style="92" bestFit="1" customWidth="1"/>
    <col min="2" max="2" width="14.140625" style="92" customWidth="1"/>
    <col min="3" max="3" width="14" style="92" bestFit="1" customWidth="1"/>
    <col min="4" max="4" width="14.7109375" style="92" bestFit="1" customWidth="1"/>
    <col min="5" max="5" width="13.140625" style="92" customWidth="1"/>
    <col min="6" max="6" width="13.85546875" style="92" customWidth="1"/>
    <col min="7" max="7" width="12.42578125" style="92"/>
    <col min="8" max="8" width="13.7109375" style="92" customWidth="1"/>
    <col min="9" max="9" width="12.42578125" style="92"/>
    <col min="10" max="10" width="28.5703125" style="92" bestFit="1" customWidth="1"/>
    <col min="11" max="11" width="16.42578125" style="92" bestFit="1" customWidth="1"/>
    <col min="12" max="12" width="14" style="92" bestFit="1" customWidth="1"/>
    <col min="13" max="13" width="17.28515625" style="92" bestFit="1" customWidth="1"/>
    <col min="14" max="14" width="12.42578125" style="92"/>
    <col min="15" max="15" width="17.28515625" style="92" bestFit="1" customWidth="1"/>
    <col min="16" max="16" width="12.42578125" style="92"/>
    <col min="17" max="17" width="13.85546875" style="92" customWidth="1"/>
    <col min="18" max="18" width="12.42578125" style="92"/>
    <col min="19" max="19" width="28.5703125" style="92" bestFit="1" customWidth="1"/>
    <col min="20" max="20" width="14.140625" style="92" customWidth="1"/>
    <col min="21" max="21" width="14" style="92" bestFit="1" customWidth="1"/>
    <col min="22" max="22" width="14.7109375" style="92" bestFit="1" customWidth="1"/>
    <col min="23" max="23" width="13.140625" style="92" customWidth="1"/>
    <col min="24" max="24" width="13.85546875" style="92" customWidth="1"/>
    <col min="25" max="25" width="12.42578125" style="92"/>
    <col min="26" max="26" width="13.7109375" style="92" customWidth="1"/>
    <col min="27" max="27" width="12.42578125" style="92"/>
    <col min="28" max="28" width="28.5703125" style="92" bestFit="1" customWidth="1"/>
    <col min="29" max="29" width="16.42578125" style="92" bestFit="1" customWidth="1"/>
    <col min="30" max="30" width="14" style="92" bestFit="1" customWidth="1"/>
    <col min="31" max="31" width="17.28515625" style="92" bestFit="1" customWidth="1"/>
    <col min="32" max="32" width="12.42578125" style="92"/>
    <col min="33" max="33" width="17.28515625" style="92" bestFit="1" customWidth="1"/>
    <col min="34" max="34" width="12.42578125" style="92"/>
    <col min="35" max="35" width="13.85546875" style="92" customWidth="1"/>
    <col min="36" max="40" width="12.42578125" style="92"/>
    <col min="41" max="41" width="17.5703125" style="92" customWidth="1"/>
    <col min="42" max="16384" width="12.42578125" style="92"/>
  </cols>
  <sheetData>
    <row r="1" spans="1:41" x14ac:dyDescent="0.25">
      <c r="A1" s="282" t="s">
        <v>72</v>
      </c>
      <c r="B1" s="283"/>
      <c r="C1" s="283"/>
      <c r="D1" s="283"/>
      <c r="E1" s="283"/>
      <c r="F1" s="283"/>
      <c r="G1" s="283"/>
      <c r="H1" s="284"/>
      <c r="J1" s="282" t="s">
        <v>74</v>
      </c>
      <c r="K1" s="283"/>
      <c r="L1" s="283"/>
      <c r="M1" s="283"/>
      <c r="N1" s="283"/>
      <c r="O1" s="283"/>
      <c r="P1" s="283"/>
      <c r="Q1" s="284"/>
      <c r="S1" s="282" t="s">
        <v>75</v>
      </c>
      <c r="T1" s="283"/>
      <c r="U1" s="283"/>
      <c r="V1" s="283"/>
      <c r="W1" s="283"/>
      <c r="X1" s="283"/>
      <c r="Y1" s="283"/>
      <c r="Z1" s="284"/>
      <c r="AB1" s="282" t="s">
        <v>76</v>
      </c>
      <c r="AC1" s="283"/>
      <c r="AD1" s="283"/>
      <c r="AE1" s="283"/>
      <c r="AF1" s="283"/>
      <c r="AG1" s="283"/>
      <c r="AH1" s="283"/>
      <c r="AI1" s="284"/>
    </row>
    <row r="2" spans="1:41" s="97" customFormat="1" ht="63" x14ac:dyDescent="0.25">
      <c r="A2" s="93"/>
      <c r="B2" s="94" t="s">
        <v>18</v>
      </c>
      <c r="C2" s="95" t="s">
        <v>19</v>
      </c>
      <c r="D2" s="94" t="s">
        <v>20</v>
      </c>
      <c r="E2" s="95" t="s">
        <v>21</v>
      </c>
      <c r="F2" s="95" t="s">
        <v>2</v>
      </c>
      <c r="G2" s="95" t="s">
        <v>22</v>
      </c>
      <c r="H2" s="96" t="s">
        <v>23</v>
      </c>
      <c r="J2" s="98"/>
      <c r="K2" s="99" t="s">
        <v>18</v>
      </c>
      <c r="L2" s="100" t="s">
        <v>19</v>
      </c>
      <c r="M2" s="99" t="s">
        <v>20</v>
      </c>
      <c r="N2" s="100" t="s">
        <v>21</v>
      </c>
      <c r="O2" s="100" t="s">
        <v>2</v>
      </c>
      <c r="P2" s="100" t="s">
        <v>22</v>
      </c>
      <c r="Q2" s="101" t="s">
        <v>23</v>
      </c>
      <c r="S2" s="102"/>
      <c r="T2" s="103" t="s">
        <v>18</v>
      </c>
      <c r="U2" s="104" t="s">
        <v>19</v>
      </c>
      <c r="V2" s="103" t="s">
        <v>20</v>
      </c>
      <c r="W2" s="104" t="s">
        <v>21</v>
      </c>
      <c r="X2" s="104" t="s">
        <v>2</v>
      </c>
      <c r="Y2" s="104" t="s">
        <v>22</v>
      </c>
      <c r="Z2" s="105" t="s">
        <v>23</v>
      </c>
      <c r="AB2" s="106"/>
      <c r="AC2" s="107" t="s">
        <v>18</v>
      </c>
      <c r="AD2" s="108" t="s">
        <v>19</v>
      </c>
      <c r="AE2" s="107" t="s">
        <v>20</v>
      </c>
      <c r="AF2" s="108" t="s">
        <v>21</v>
      </c>
      <c r="AG2" s="108" t="s">
        <v>2</v>
      </c>
      <c r="AH2" s="108" t="s">
        <v>22</v>
      </c>
      <c r="AI2" s="109" t="s">
        <v>23</v>
      </c>
      <c r="AK2" s="220"/>
      <c r="AL2" s="221" t="s">
        <v>180</v>
      </c>
      <c r="AM2" s="222" t="s">
        <v>181</v>
      </c>
      <c r="AN2" s="223" t="s">
        <v>182</v>
      </c>
      <c r="AO2" s="224" t="s">
        <v>183</v>
      </c>
    </row>
    <row r="3" spans="1:41" x14ac:dyDescent="0.25">
      <c r="A3" s="110" t="s">
        <v>24</v>
      </c>
      <c r="B3" s="111">
        <v>200</v>
      </c>
      <c r="C3" s="112">
        <v>10</v>
      </c>
      <c r="D3" s="112">
        <f t="shared" ref="D3:D6" si="0">B3*C3</f>
        <v>2000</v>
      </c>
      <c r="E3" s="111">
        <f>IF(B3&lt;=E7,B3,E7)</f>
        <v>200</v>
      </c>
      <c r="F3" s="113">
        <f>C3*E3</f>
        <v>2000</v>
      </c>
      <c r="G3" s="111">
        <f>B3-E3</f>
        <v>0</v>
      </c>
      <c r="H3" s="114">
        <f>C3*G3</f>
        <v>0</v>
      </c>
      <c r="J3" s="110" t="s">
        <v>24</v>
      </c>
      <c r="K3" s="111">
        <f>B3</f>
        <v>200</v>
      </c>
      <c r="L3" s="112">
        <f>C3</f>
        <v>10</v>
      </c>
      <c r="M3" s="112">
        <f>K3*L3</f>
        <v>2000</v>
      </c>
      <c r="N3" s="115"/>
      <c r="O3" s="113"/>
      <c r="P3" s="115"/>
      <c r="Q3" s="116"/>
      <c r="S3" s="110" t="s">
        <v>24</v>
      </c>
      <c r="T3" s="111">
        <f>B3</f>
        <v>200</v>
      </c>
      <c r="U3" s="112">
        <f>C3</f>
        <v>10</v>
      </c>
      <c r="V3" s="112">
        <f>T3*U3</f>
        <v>2000</v>
      </c>
      <c r="W3" s="111">
        <f>IF(T3+SUM(W4:W$6)&lt;=W$7,T3,W$7-SUM(W4:W$6))</f>
        <v>0</v>
      </c>
      <c r="X3" s="113">
        <f>U3*W3</f>
        <v>0</v>
      </c>
      <c r="Y3" s="111">
        <f>T3-W3</f>
        <v>200</v>
      </c>
      <c r="Z3" s="114">
        <f>U3*Y3</f>
        <v>2000</v>
      </c>
      <c r="AB3" s="110" t="s">
        <v>24</v>
      </c>
      <c r="AC3" s="111">
        <f>B3</f>
        <v>200</v>
      </c>
      <c r="AD3" s="112">
        <f>C3</f>
        <v>10</v>
      </c>
      <c r="AE3" s="112">
        <f>AC3*AD3</f>
        <v>2000</v>
      </c>
      <c r="AF3" s="111">
        <v>180</v>
      </c>
      <c r="AG3" s="113">
        <f>AD3*AF3</f>
        <v>1800</v>
      </c>
      <c r="AH3" s="111">
        <f>AC3-AF3</f>
        <v>20</v>
      </c>
      <c r="AI3" s="114">
        <f>AD3*AH3</f>
        <v>200</v>
      </c>
      <c r="AK3" s="229" t="s">
        <v>99</v>
      </c>
      <c r="AL3" s="225">
        <f>Q7</f>
        <v>4420</v>
      </c>
      <c r="AM3" s="226">
        <f>H7</f>
        <v>5120</v>
      </c>
      <c r="AN3" s="227">
        <f>Z7</f>
        <v>3680</v>
      </c>
      <c r="AO3" s="228">
        <f>AI7</f>
        <v>4600</v>
      </c>
    </row>
    <row r="4" spans="1:41" x14ac:dyDescent="0.25">
      <c r="A4" s="110" t="s">
        <v>27</v>
      </c>
      <c r="B4" s="111">
        <v>150</v>
      </c>
      <c r="C4" s="112">
        <f>1800/B4</f>
        <v>12</v>
      </c>
      <c r="D4" s="112">
        <f t="shared" si="0"/>
        <v>1800</v>
      </c>
      <c r="E4" s="111">
        <f>IF(B4+SUM(E$3:E3)&lt;=E$7,B4,E$7-SUM(E$3:E3))</f>
        <v>100</v>
      </c>
      <c r="F4" s="113">
        <f t="shared" ref="F4:F6" si="1">C4*E4</f>
        <v>1200</v>
      </c>
      <c r="G4" s="111">
        <f t="shared" ref="G4:G6" si="2">B4-E4</f>
        <v>50</v>
      </c>
      <c r="H4" s="114">
        <f t="shared" ref="H4:H6" si="3">C4*G4</f>
        <v>600</v>
      </c>
      <c r="J4" s="110" t="s">
        <v>27</v>
      </c>
      <c r="K4" s="111">
        <f>B4</f>
        <v>150</v>
      </c>
      <c r="L4" s="112">
        <f t="shared" ref="L4:L6" si="4">C4</f>
        <v>12</v>
      </c>
      <c r="M4" s="112">
        <f t="shared" ref="M4:M6" si="5">K4*L4</f>
        <v>1800</v>
      </c>
      <c r="N4" s="115"/>
      <c r="O4" s="113"/>
      <c r="P4" s="115"/>
      <c r="Q4" s="116"/>
      <c r="S4" s="110" t="s">
        <v>27</v>
      </c>
      <c r="T4" s="111">
        <f t="shared" ref="T4:U6" si="6">B4</f>
        <v>150</v>
      </c>
      <c r="U4" s="112">
        <f t="shared" si="6"/>
        <v>12</v>
      </c>
      <c r="V4" s="112">
        <f t="shared" ref="V4:V6" si="7">T4*U4</f>
        <v>1800</v>
      </c>
      <c r="W4" s="111">
        <f>IF(T4+SUM(W5:W$6)&lt;=W$7,T4,W$7-SUM(W5:W$6))</f>
        <v>10</v>
      </c>
      <c r="X4" s="113">
        <f t="shared" ref="X4:X6" si="8">U4*W4</f>
        <v>120</v>
      </c>
      <c r="Y4" s="111">
        <f t="shared" ref="Y4:Y6" si="9">T4-W4</f>
        <v>140</v>
      </c>
      <c r="Z4" s="114">
        <f t="shared" ref="Z4:Z6" si="10">U4*Y4</f>
        <v>1680</v>
      </c>
      <c r="AB4" s="110" t="s">
        <v>27</v>
      </c>
      <c r="AC4" s="111">
        <f t="shared" ref="AC4:AD6" si="11">B4</f>
        <v>150</v>
      </c>
      <c r="AD4" s="112">
        <f t="shared" si="11"/>
        <v>12</v>
      </c>
      <c r="AE4" s="112">
        <f t="shared" ref="AE4:AE6" si="12">AC4*AD4</f>
        <v>1800</v>
      </c>
      <c r="AF4" s="111">
        <v>0</v>
      </c>
      <c r="AG4" s="113">
        <f t="shared" ref="AG4:AG6" si="13">AD4*AF4</f>
        <v>0</v>
      </c>
      <c r="AH4" s="111">
        <f t="shared" ref="AH4:AH6" si="14">AC4-AF4</f>
        <v>150</v>
      </c>
      <c r="AI4" s="114">
        <f t="shared" ref="AI4:AI6" si="15">AD4*AH4</f>
        <v>1800</v>
      </c>
      <c r="AK4" s="229" t="s">
        <v>2</v>
      </c>
      <c r="AL4" s="225">
        <f>-O7</f>
        <v>-3900</v>
      </c>
      <c r="AM4" s="226">
        <f>-F7</f>
        <v>-3200</v>
      </c>
      <c r="AN4" s="227">
        <f>-X7</f>
        <v>-4640</v>
      </c>
      <c r="AO4" s="228">
        <f>-AG7</f>
        <v>-3720</v>
      </c>
    </row>
    <row r="5" spans="1:41" x14ac:dyDescent="0.25">
      <c r="A5" s="110" t="s">
        <v>28</v>
      </c>
      <c r="B5" s="111">
        <v>120</v>
      </c>
      <c r="C5" s="112">
        <f>1800/B5</f>
        <v>15</v>
      </c>
      <c r="D5" s="112">
        <f t="shared" si="0"/>
        <v>1800</v>
      </c>
      <c r="E5" s="111">
        <f>IF(B5+SUM(E$3:E4)&lt;=E$7,B5,E$7-SUM(E$3:E4))</f>
        <v>0</v>
      </c>
      <c r="F5" s="113">
        <f t="shared" si="1"/>
        <v>0</v>
      </c>
      <c r="G5" s="111">
        <f t="shared" si="2"/>
        <v>120</v>
      </c>
      <c r="H5" s="114">
        <f t="shared" si="3"/>
        <v>1800</v>
      </c>
      <c r="J5" s="110" t="s">
        <v>28</v>
      </c>
      <c r="K5" s="111">
        <f>B5</f>
        <v>120</v>
      </c>
      <c r="L5" s="112">
        <f t="shared" si="4"/>
        <v>15</v>
      </c>
      <c r="M5" s="112">
        <f t="shared" si="5"/>
        <v>1800</v>
      </c>
      <c r="N5" s="115"/>
      <c r="O5" s="113"/>
      <c r="P5" s="115"/>
      <c r="Q5" s="116"/>
      <c r="S5" s="110" t="s">
        <v>28</v>
      </c>
      <c r="T5" s="111">
        <f t="shared" si="6"/>
        <v>120</v>
      </c>
      <c r="U5" s="112">
        <f t="shared" si="6"/>
        <v>15</v>
      </c>
      <c r="V5" s="112">
        <f t="shared" si="7"/>
        <v>1800</v>
      </c>
      <c r="W5" s="111">
        <f>IF(T5+SUM(W6:W$6)&lt;=W$7,T5,W$7-SUM(W6:W$6))</f>
        <v>120</v>
      </c>
      <c r="X5" s="113">
        <f t="shared" si="8"/>
        <v>1800</v>
      </c>
      <c r="Y5" s="111">
        <f t="shared" si="9"/>
        <v>0</v>
      </c>
      <c r="Z5" s="114">
        <f t="shared" si="10"/>
        <v>0</v>
      </c>
      <c r="AB5" s="110" t="s">
        <v>28</v>
      </c>
      <c r="AC5" s="111">
        <f t="shared" si="11"/>
        <v>120</v>
      </c>
      <c r="AD5" s="112">
        <f t="shared" si="11"/>
        <v>15</v>
      </c>
      <c r="AE5" s="112">
        <f t="shared" si="12"/>
        <v>1800</v>
      </c>
      <c r="AF5" s="111">
        <v>0</v>
      </c>
      <c r="AG5" s="113">
        <f t="shared" si="13"/>
        <v>0</v>
      </c>
      <c r="AH5" s="111">
        <f t="shared" si="14"/>
        <v>120</v>
      </c>
      <c r="AI5" s="114">
        <f t="shared" si="15"/>
        <v>1800</v>
      </c>
      <c r="AK5" s="229" t="s">
        <v>17</v>
      </c>
      <c r="AL5" s="225">
        <f>K18</f>
        <v>600</v>
      </c>
      <c r="AM5" s="226">
        <f>B18</f>
        <v>1300</v>
      </c>
      <c r="AN5" s="227">
        <f>T18</f>
        <v>-140</v>
      </c>
      <c r="AO5" s="228">
        <f>AC18</f>
        <v>780</v>
      </c>
    </row>
    <row r="6" spans="1:41" x14ac:dyDescent="0.25">
      <c r="A6" s="117" t="s">
        <v>29</v>
      </c>
      <c r="B6" s="118">
        <v>170</v>
      </c>
      <c r="C6" s="119">
        <f>2720/B6</f>
        <v>16</v>
      </c>
      <c r="D6" s="119">
        <f t="shared" si="0"/>
        <v>2720</v>
      </c>
      <c r="E6" s="118">
        <f>IF(B6+SUM(E$3:E5)&lt;=E$7,B6,E$7-SUM(E$3:E5))</f>
        <v>0</v>
      </c>
      <c r="F6" s="120">
        <f t="shared" si="1"/>
        <v>0</v>
      </c>
      <c r="G6" s="118">
        <f t="shared" si="2"/>
        <v>170</v>
      </c>
      <c r="H6" s="121">
        <f t="shared" si="3"/>
        <v>2720</v>
      </c>
      <c r="J6" s="117" t="s">
        <v>69</v>
      </c>
      <c r="K6" s="118">
        <f>B6</f>
        <v>170</v>
      </c>
      <c r="L6" s="119">
        <f t="shared" si="4"/>
        <v>16</v>
      </c>
      <c r="M6" s="119">
        <f t="shared" si="5"/>
        <v>2720</v>
      </c>
      <c r="N6" s="122"/>
      <c r="O6" s="120"/>
      <c r="P6" s="122"/>
      <c r="Q6" s="123"/>
      <c r="S6" s="117" t="s">
        <v>69</v>
      </c>
      <c r="T6" s="118">
        <f t="shared" si="6"/>
        <v>170</v>
      </c>
      <c r="U6" s="119">
        <f t="shared" si="6"/>
        <v>16</v>
      </c>
      <c r="V6" s="119">
        <f t="shared" si="7"/>
        <v>2720</v>
      </c>
      <c r="W6" s="118">
        <f>IF(T6&lt;=W7,T6,W7)</f>
        <v>170</v>
      </c>
      <c r="X6" s="120">
        <f t="shared" si="8"/>
        <v>2720</v>
      </c>
      <c r="Y6" s="118">
        <f t="shared" si="9"/>
        <v>0</v>
      </c>
      <c r="Z6" s="121">
        <f t="shared" si="10"/>
        <v>0</v>
      </c>
      <c r="AB6" s="117" t="s">
        <v>69</v>
      </c>
      <c r="AC6" s="118">
        <f t="shared" si="11"/>
        <v>170</v>
      </c>
      <c r="AD6" s="119">
        <f t="shared" si="11"/>
        <v>16</v>
      </c>
      <c r="AE6" s="119">
        <f t="shared" si="12"/>
        <v>2720</v>
      </c>
      <c r="AF6" s="118">
        <v>120</v>
      </c>
      <c r="AG6" s="120">
        <f t="shared" si="13"/>
        <v>1920</v>
      </c>
      <c r="AH6" s="118">
        <f t="shared" si="14"/>
        <v>50</v>
      </c>
      <c r="AI6" s="121">
        <f t="shared" si="15"/>
        <v>800</v>
      </c>
      <c r="AK6" s="229" t="s">
        <v>111</v>
      </c>
      <c r="AL6" s="225">
        <f>K19</f>
        <v>-120</v>
      </c>
      <c r="AM6" s="226">
        <f>B19</f>
        <v>-260</v>
      </c>
      <c r="AN6" s="227">
        <f t="shared" ref="AN6:AN7" si="16">T19</f>
        <v>28</v>
      </c>
      <c r="AO6" s="228">
        <f t="shared" ref="AO6:AO7" si="17">AC19</f>
        <v>-156</v>
      </c>
    </row>
    <row r="7" spans="1:41" x14ac:dyDescent="0.25">
      <c r="A7" s="124"/>
      <c r="B7" s="125">
        <f>SUM(B3:B6)</f>
        <v>640</v>
      </c>
      <c r="C7" s="126"/>
      <c r="D7" s="127">
        <f>SUM(D3:D6)</f>
        <v>8320</v>
      </c>
      <c r="E7" s="125">
        <v>300</v>
      </c>
      <c r="F7" s="127">
        <f>D7-H10</f>
        <v>3200</v>
      </c>
      <c r="G7" s="125">
        <f>B7-E7</f>
        <v>340</v>
      </c>
      <c r="H7" s="128">
        <f>SUM(H3:H6)</f>
        <v>5120</v>
      </c>
      <c r="J7" s="124"/>
      <c r="K7" s="125">
        <f>SUM(K3:K6)</f>
        <v>640</v>
      </c>
      <c r="L7" s="127">
        <f>ROUND(M7/K7,2)</f>
        <v>13</v>
      </c>
      <c r="M7" s="127">
        <f>SUM(M3:M6)</f>
        <v>8320</v>
      </c>
      <c r="N7" s="125">
        <f>E7</f>
        <v>300</v>
      </c>
      <c r="O7" s="127">
        <f>M7-Q10</f>
        <v>3900</v>
      </c>
      <c r="P7" s="125">
        <f>K7-N7</f>
        <v>340</v>
      </c>
      <c r="Q7" s="128">
        <f>P7*L7</f>
        <v>4420</v>
      </c>
      <c r="S7" s="124"/>
      <c r="T7" s="125">
        <f>SUM(T3:T6)</f>
        <v>640</v>
      </c>
      <c r="U7" s="126"/>
      <c r="V7" s="127">
        <f>SUM(V3:V6)</f>
        <v>8320</v>
      </c>
      <c r="W7" s="125">
        <f>E7</f>
        <v>300</v>
      </c>
      <c r="X7" s="127">
        <f>V7-Z10</f>
        <v>4640</v>
      </c>
      <c r="Y7" s="125">
        <f>T7-W7</f>
        <v>340</v>
      </c>
      <c r="Z7" s="128">
        <f>SUM(Z3:Z6)</f>
        <v>3680</v>
      </c>
      <c r="AB7" s="124"/>
      <c r="AC7" s="125">
        <f>SUM(AC3:AC6)</f>
        <v>640</v>
      </c>
      <c r="AD7" s="127"/>
      <c r="AE7" s="127">
        <f>SUM(AE3:AE6)</f>
        <v>8320</v>
      </c>
      <c r="AF7" s="125">
        <f>SUM(AF3:AF6)</f>
        <v>300</v>
      </c>
      <c r="AG7" s="127">
        <f>AE7-AI10</f>
        <v>3720</v>
      </c>
      <c r="AH7" s="125">
        <f>AC7-AF7</f>
        <v>340</v>
      </c>
      <c r="AI7" s="128">
        <f>SUM(AI3:AI6)</f>
        <v>4600</v>
      </c>
      <c r="AK7" s="229" t="s">
        <v>1</v>
      </c>
      <c r="AL7" s="225">
        <f>K20</f>
        <v>480</v>
      </c>
      <c r="AM7" s="226">
        <f>B20</f>
        <v>1040</v>
      </c>
      <c r="AN7" s="227">
        <f t="shared" si="16"/>
        <v>-112</v>
      </c>
      <c r="AO7" s="228">
        <f t="shared" si="17"/>
        <v>624</v>
      </c>
    </row>
    <row r="8" spans="1:41" x14ac:dyDescent="0.25">
      <c r="A8" s="124" t="s">
        <v>26</v>
      </c>
      <c r="B8" s="129"/>
      <c r="C8" s="127">
        <v>16</v>
      </c>
      <c r="D8" s="129"/>
      <c r="E8" s="129"/>
      <c r="F8" s="129"/>
      <c r="G8" s="129"/>
      <c r="H8" s="128">
        <f>G7*C8</f>
        <v>5440</v>
      </c>
      <c r="J8" s="124" t="s">
        <v>26</v>
      </c>
      <c r="K8" s="129"/>
      <c r="L8" s="127">
        <f>C8</f>
        <v>16</v>
      </c>
      <c r="M8" s="129"/>
      <c r="N8" s="129"/>
      <c r="O8" s="129"/>
      <c r="P8" s="129"/>
      <c r="Q8" s="128">
        <f>P7*L8</f>
        <v>5440</v>
      </c>
      <c r="S8" s="124" t="s">
        <v>26</v>
      </c>
      <c r="T8" s="129"/>
      <c r="U8" s="127">
        <f>C8</f>
        <v>16</v>
      </c>
      <c r="V8" s="129"/>
      <c r="W8" s="129"/>
      <c r="X8" s="129"/>
      <c r="Y8" s="129"/>
      <c r="Z8" s="128">
        <f>Y7*U8</f>
        <v>5440</v>
      </c>
      <c r="AB8" s="124" t="s">
        <v>26</v>
      </c>
      <c r="AC8" s="129"/>
      <c r="AD8" s="127">
        <f>C8</f>
        <v>16</v>
      </c>
      <c r="AE8" s="129"/>
      <c r="AF8" s="129"/>
      <c r="AG8" s="129"/>
      <c r="AH8" s="129"/>
      <c r="AI8" s="128">
        <f>AH7*AD8</f>
        <v>5440</v>
      </c>
    </row>
    <row r="9" spans="1:41" x14ac:dyDescent="0.25">
      <c r="A9" s="124" t="s">
        <v>30</v>
      </c>
      <c r="B9" s="129"/>
      <c r="C9" s="127">
        <v>20</v>
      </c>
      <c r="D9" s="129"/>
      <c r="E9" s="129"/>
      <c r="F9" s="129"/>
      <c r="G9" s="129"/>
      <c r="H9" s="128"/>
      <c r="J9" s="124" t="s">
        <v>30</v>
      </c>
      <c r="K9" s="129"/>
      <c r="L9" s="127">
        <f>C9</f>
        <v>20</v>
      </c>
      <c r="M9" s="129"/>
      <c r="N9" s="129"/>
      <c r="O9" s="129"/>
      <c r="P9" s="129"/>
      <c r="Q9" s="128"/>
      <c r="S9" s="124" t="s">
        <v>30</v>
      </c>
      <c r="T9" s="129"/>
      <c r="U9" s="127">
        <f>C9</f>
        <v>20</v>
      </c>
      <c r="V9" s="129"/>
      <c r="W9" s="129"/>
      <c r="X9" s="129"/>
      <c r="Y9" s="129"/>
      <c r="Z9" s="128"/>
      <c r="AB9" s="124" t="s">
        <v>30</v>
      </c>
      <c r="AC9" s="129"/>
      <c r="AD9" s="127">
        <f>C9</f>
        <v>20</v>
      </c>
      <c r="AE9" s="129"/>
      <c r="AF9" s="129"/>
      <c r="AG9" s="129"/>
      <c r="AH9" s="129"/>
      <c r="AI9" s="128"/>
    </row>
    <row r="10" spans="1:41" ht="16.5" thickBot="1" x14ac:dyDescent="0.3">
      <c r="A10" s="130" t="s">
        <v>25</v>
      </c>
      <c r="B10" s="131"/>
      <c r="C10" s="131"/>
      <c r="D10" s="131"/>
      <c r="E10" s="131"/>
      <c r="F10" s="131"/>
      <c r="G10" s="131"/>
      <c r="H10" s="132">
        <f>MIN(H7:H8)</f>
        <v>5120</v>
      </c>
      <c r="J10" s="130" t="s">
        <v>25</v>
      </c>
      <c r="K10" s="131"/>
      <c r="L10" s="131"/>
      <c r="M10" s="131"/>
      <c r="N10" s="131"/>
      <c r="O10" s="131"/>
      <c r="P10" s="131"/>
      <c r="Q10" s="132">
        <f>MIN(Q7:Q8)</f>
        <v>4420</v>
      </c>
      <c r="S10" s="130" t="s">
        <v>25</v>
      </c>
      <c r="T10" s="131"/>
      <c r="U10" s="131"/>
      <c r="V10" s="131"/>
      <c r="W10" s="131"/>
      <c r="X10" s="131"/>
      <c r="Y10" s="131"/>
      <c r="Z10" s="132">
        <f>MIN(Z7:Z8)</f>
        <v>3680</v>
      </c>
      <c r="AB10" s="130" t="s">
        <v>25</v>
      </c>
      <c r="AC10" s="131"/>
      <c r="AD10" s="131"/>
      <c r="AE10" s="131"/>
      <c r="AF10" s="131"/>
      <c r="AG10" s="131"/>
      <c r="AH10" s="131"/>
      <c r="AI10" s="132">
        <f>MIN(AI7:AI8)</f>
        <v>4600</v>
      </c>
    </row>
    <row r="11" spans="1:41" ht="16.5" thickBot="1" x14ac:dyDescent="0.3">
      <c r="B11" s="133"/>
      <c r="C11" s="134"/>
      <c r="D11" s="134"/>
      <c r="L11" s="135"/>
      <c r="T11" s="133"/>
      <c r="U11" s="134"/>
      <c r="V11" s="134"/>
      <c r="AD11" s="135"/>
    </row>
    <row r="12" spans="1:41" x14ac:dyDescent="0.25">
      <c r="A12" s="285" t="s">
        <v>33</v>
      </c>
      <c r="B12" s="286"/>
      <c r="C12" s="134"/>
      <c r="D12" s="134"/>
      <c r="J12" s="285" t="s">
        <v>33</v>
      </c>
      <c r="K12" s="286"/>
      <c r="S12" s="285" t="s">
        <v>33</v>
      </c>
      <c r="T12" s="286"/>
      <c r="U12" s="134"/>
      <c r="V12" s="134"/>
      <c r="AB12" s="285" t="s">
        <v>33</v>
      </c>
      <c r="AC12" s="286"/>
    </row>
    <row r="13" spans="1:41" ht="16.5" thickBot="1" x14ac:dyDescent="0.3">
      <c r="A13" s="280" t="s">
        <v>73</v>
      </c>
      <c r="B13" s="281"/>
      <c r="C13" s="134"/>
      <c r="D13" s="134"/>
      <c r="J13" s="280" t="s">
        <v>73</v>
      </c>
      <c r="K13" s="281"/>
      <c r="S13" s="280" t="s">
        <v>73</v>
      </c>
      <c r="T13" s="281"/>
      <c r="U13" s="134"/>
      <c r="V13" s="134"/>
      <c r="AB13" s="280" t="s">
        <v>73</v>
      </c>
      <c r="AC13" s="281"/>
    </row>
    <row r="14" spans="1:41" x14ac:dyDescent="0.25">
      <c r="A14" s="136" t="s">
        <v>14</v>
      </c>
      <c r="B14" s="137">
        <f>E7*C9</f>
        <v>6000</v>
      </c>
      <c r="C14" s="134"/>
      <c r="D14" s="134"/>
      <c r="J14" s="136" t="s">
        <v>14</v>
      </c>
      <c r="K14" s="137">
        <f>N7*L9</f>
        <v>6000</v>
      </c>
      <c r="S14" s="136" t="s">
        <v>14</v>
      </c>
      <c r="T14" s="137">
        <f>W7*U9</f>
        <v>6000</v>
      </c>
      <c r="U14" s="134"/>
      <c r="V14" s="134"/>
      <c r="AB14" s="136" t="s">
        <v>14</v>
      </c>
      <c r="AC14" s="137">
        <f>AF7*AD9</f>
        <v>6000</v>
      </c>
    </row>
    <row r="15" spans="1:41" x14ac:dyDescent="0.25">
      <c r="A15" s="117" t="s">
        <v>2</v>
      </c>
      <c r="B15" s="121">
        <f>-F7</f>
        <v>-3200</v>
      </c>
      <c r="C15" s="134"/>
      <c r="D15" s="134"/>
      <c r="J15" s="117" t="s">
        <v>2</v>
      </c>
      <c r="K15" s="121">
        <f>-O7</f>
        <v>-3900</v>
      </c>
      <c r="S15" s="117" t="s">
        <v>2</v>
      </c>
      <c r="T15" s="121">
        <f>-X7</f>
        <v>-4640</v>
      </c>
      <c r="U15" s="134"/>
      <c r="V15" s="134"/>
      <c r="AB15" s="117" t="s">
        <v>2</v>
      </c>
      <c r="AC15" s="121">
        <f>-AG7</f>
        <v>-3720</v>
      </c>
    </row>
    <row r="16" spans="1:41" x14ac:dyDescent="0.25">
      <c r="A16" s="138" t="s">
        <v>0</v>
      </c>
      <c r="B16" s="139">
        <f>SUM(B14:B15)</f>
        <v>2800</v>
      </c>
      <c r="C16" s="134"/>
      <c r="D16" s="134"/>
      <c r="J16" s="138" t="s">
        <v>0</v>
      </c>
      <c r="K16" s="139">
        <f>SUM(K14:K15)</f>
        <v>2100</v>
      </c>
      <c r="S16" s="138" t="s">
        <v>0</v>
      </c>
      <c r="T16" s="139">
        <f>SUM(T14:T15)</f>
        <v>1360</v>
      </c>
      <c r="U16" s="134"/>
      <c r="V16" s="134"/>
      <c r="AB16" s="138" t="s">
        <v>0</v>
      </c>
      <c r="AC16" s="139">
        <f>SUM(AC14:AC15)</f>
        <v>2280</v>
      </c>
    </row>
    <row r="17" spans="1:29" x14ac:dyDescent="0.25">
      <c r="A17" s="117" t="s">
        <v>31</v>
      </c>
      <c r="B17" s="121">
        <f>-1500</f>
        <v>-1500</v>
      </c>
      <c r="C17" s="134"/>
      <c r="D17" s="134"/>
      <c r="J17" s="117" t="s">
        <v>31</v>
      </c>
      <c r="K17" s="121">
        <f>B17</f>
        <v>-1500</v>
      </c>
      <c r="S17" s="117" t="s">
        <v>31</v>
      </c>
      <c r="T17" s="121">
        <f>B17</f>
        <v>-1500</v>
      </c>
      <c r="U17" s="134"/>
      <c r="V17" s="134"/>
      <c r="AB17" s="117" t="s">
        <v>31</v>
      </c>
      <c r="AC17" s="121">
        <f>B17</f>
        <v>-1500</v>
      </c>
    </row>
    <row r="18" spans="1:29" x14ac:dyDescent="0.25">
      <c r="A18" s="138" t="s">
        <v>17</v>
      </c>
      <c r="B18" s="139">
        <f>SUM(B16:B17)</f>
        <v>1300</v>
      </c>
      <c r="C18" s="134"/>
      <c r="D18" s="134"/>
      <c r="J18" s="138" t="s">
        <v>17</v>
      </c>
      <c r="K18" s="139">
        <f>SUM(K16:K17)</f>
        <v>600</v>
      </c>
      <c r="S18" s="138" t="s">
        <v>17</v>
      </c>
      <c r="T18" s="139">
        <f>SUM(T16:T17)</f>
        <v>-140</v>
      </c>
      <c r="U18" s="134"/>
      <c r="V18" s="134"/>
      <c r="AB18" s="138" t="s">
        <v>17</v>
      </c>
      <c r="AC18" s="139">
        <f>SUM(AC16:AC17)</f>
        <v>780</v>
      </c>
    </row>
    <row r="19" spans="1:29" x14ac:dyDescent="0.25">
      <c r="A19" s="117" t="s">
        <v>32</v>
      </c>
      <c r="B19" s="121">
        <f>-B18*20%</f>
        <v>-260</v>
      </c>
      <c r="C19" s="134"/>
      <c r="D19" s="134"/>
      <c r="J19" s="117" t="s">
        <v>32</v>
      </c>
      <c r="K19" s="121">
        <f>-K18*20%</f>
        <v>-120</v>
      </c>
      <c r="S19" s="117" t="s">
        <v>32</v>
      </c>
      <c r="T19" s="121">
        <f>-T18*20%</f>
        <v>28</v>
      </c>
      <c r="U19" s="134"/>
      <c r="V19" s="134"/>
      <c r="AB19" s="117" t="s">
        <v>32</v>
      </c>
      <c r="AC19" s="121">
        <f>-AC18*20%</f>
        <v>-156</v>
      </c>
    </row>
    <row r="20" spans="1:29" ht="16.5" thickBot="1" x14ac:dyDescent="0.3">
      <c r="A20" s="130" t="s">
        <v>1</v>
      </c>
      <c r="B20" s="132">
        <f>B18+B19</f>
        <v>1040</v>
      </c>
      <c r="C20" s="134"/>
      <c r="D20" s="134"/>
      <c r="J20" s="130" t="s">
        <v>1</v>
      </c>
      <c r="K20" s="132">
        <f>K18+K19</f>
        <v>480</v>
      </c>
      <c r="S20" s="130" t="s">
        <v>1</v>
      </c>
      <c r="T20" s="132">
        <f>T18+T19</f>
        <v>-112</v>
      </c>
      <c r="U20" s="134"/>
      <c r="V20" s="134"/>
      <c r="AB20" s="130" t="s">
        <v>1</v>
      </c>
      <c r="AC20" s="132">
        <f>AC18+AC19</f>
        <v>624</v>
      </c>
    </row>
    <row r="21" spans="1:29" x14ac:dyDescent="0.25">
      <c r="B21" s="133"/>
      <c r="C21" s="134"/>
      <c r="D21" s="134"/>
      <c r="T21" s="133"/>
      <c r="U21" s="134"/>
      <c r="V21" s="134"/>
    </row>
  </sheetData>
  <mergeCells count="12">
    <mergeCell ref="A13:B13"/>
    <mergeCell ref="J13:K13"/>
    <mergeCell ref="S13:T13"/>
    <mergeCell ref="AB13:AC13"/>
    <mergeCell ref="A1:H1"/>
    <mergeCell ref="J1:Q1"/>
    <mergeCell ref="S1:Z1"/>
    <mergeCell ref="AB1:AI1"/>
    <mergeCell ref="A12:B12"/>
    <mergeCell ref="J12:K12"/>
    <mergeCell ref="S12:T12"/>
    <mergeCell ref="AB12:AC12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2EF42-7A5E-4ACB-A41D-F0232C760CFE}">
  <dimension ref="A1:AI21"/>
  <sheetViews>
    <sheetView showGridLines="0" workbookViewId="0">
      <selection activeCell="D19" sqref="D19"/>
    </sheetView>
  </sheetViews>
  <sheetFormatPr defaultColWidth="12.42578125" defaultRowHeight="15.75" x14ac:dyDescent="0.25"/>
  <cols>
    <col min="1" max="1" width="28.5703125" style="92" bestFit="1" customWidth="1"/>
    <col min="2" max="2" width="14.140625" style="92" customWidth="1"/>
    <col min="3" max="3" width="14" style="92" bestFit="1" customWidth="1"/>
    <col min="4" max="4" width="14.7109375" style="92" bestFit="1" customWidth="1"/>
    <col min="5" max="5" width="13.140625" style="92" customWidth="1"/>
    <col min="6" max="6" width="13.85546875" style="92" customWidth="1"/>
    <col min="7" max="7" width="12.42578125" style="92"/>
    <col min="8" max="8" width="13.7109375" style="92" customWidth="1"/>
    <col min="9" max="9" width="12.42578125" style="92"/>
    <col min="10" max="10" width="28.5703125" style="92" bestFit="1" customWidth="1"/>
    <col min="11" max="11" width="16.42578125" style="92" bestFit="1" customWidth="1"/>
    <col min="12" max="12" width="14" style="92" bestFit="1" customWidth="1"/>
    <col min="13" max="13" width="17.28515625" style="92" bestFit="1" customWidth="1"/>
    <col min="14" max="14" width="12.42578125" style="92"/>
    <col min="15" max="15" width="17.28515625" style="92" bestFit="1" customWidth="1"/>
    <col min="16" max="16" width="12.42578125" style="92"/>
    <col min="17" max="17" width="13.85546875" style="92" customWidth="1"/>
    <col min="18" max="18" width="12.42578125" style="92"/>
    <col min="19" max="19" width="28.5703125" style="92" bestFit="1" customWidth="1"/>
    <col min="20" max="20" width="14.140625" style="92" customWidth="1"/>
    <col min="21" max="21" width="14" style="92" bestFit="1" customWidth="1"/>
    <col min="22" max="22" width="14.7109375" style="92" bestFit="1" customWidth="1"/>
    <col min="23" max="23" width="13.140625" style="92" customWidth="1"/>
    <col min="24" max="24" width="13.85546875" style="92" customWidth="1"/>
    <col min="25" max="25" width="12.42578125" style="92"/>
    <col min="26" max="26" width="13.7109375" style="92" customWidth="1"/>
    <col min="27" max="27" width="12.42578125" style="92"/>
    <col min="28" max="28" width="28.5703125" style="92" bestFit="1" customWidth="1"/>
    <col min="29" max="29" width="16.42578125" style="92" bestFit="1" customWidth="1"/>
    <col min="30" max="30" width="14" style="92" bestFit="1" customWidth="1"/>
    <col min="31" max="31" width="17.28515625" style="92" bestFit="1" customWidth="1"/>
    <col min="32" max="32" width="12.42578125" style="92"/>
    <col min="33" max="33" width="17.28515625" style="92" bestFit="1" customWidth="1"/>
    <col min="34" max="34" width="12.42578125" style="92"/>
    <col min="35" max="35" width="13.85546875" style="92" customWidth="1"/>
    <col min="36" max="16384" width="12.42578125" style="92"/>
  </cols>
  <sheetData>
    <row r="1" spans="1:35" x14ac:dyDescent="0.25">
      <c r="A1" s="282" t="s">
        <v>72</v>
      </c>
      <c r="B1" s="283"/>
      <c r="C1" s="283"/>
      <c r="D1" s="283"/>
      <c r="E1" s="283"/>
      <c r="F1" s="283"/>
      <c r="G1" s="283"/>
      <c r="H1" s="284"/>
      <c r="J1" s="282" t="s">
        <v>74</v>
      </c>
      <c r="K1" s="283"/>
      <c r="L1" s="283"/>
      <c r="M1" s="283"/>
      <c r="N1" s="283"/>
      <c r="O1" s="283"/>
      <c r="P1" s="283"/>
      <c r="Q1" s="284"/>
      <c r="S1" s="282" t="s">
        <v>75</v>
      </c>
      <c r="T1" s="283"/>
      <c r="U1" s="283"/>
      <c r="V1" s="283"/>
      <c r="W1" s="283"/>
      <c r="X1" s="283"/>
      <c r="Y1" s="283"/>
      <c r="Z1" s="284"/>
      <c r="AB1" s="282" t="s">
        <v>76</v>
      </c>
      <c r="AC1" s="283"/>
      <c r="AD1" s="283"/>
      <c r="AE1" s="283"/>
      <c r="AF1" s="283"/>
      <c r="AG1" s="283"/>
      <c r="AH1" s="283"/>
      <c r="AI1" s="284"/>
    </row>
    <row r="2" spans="1:35" s="97" customFormat="1" ht="63" x14ac:dyDescent="0.25">
      <c r="A2" s="93"/>
      <c r="B2" s="94" t="s">
        <v>18</v>
      </c>
      <c r="C2" s="95" t="s">
        <v>19</v>
      </c>
      <c r="D2" s="94" t="s">
        <v>20</v>
      </c>
      <c r="E2" s="95" t="s">
        <v>21</v>
      </c>
      <c r="F2" s="95" t="s">
        <v>2</v>
      </c>
      <c r="G2" s="95" t="s">
        <v>22</v>
      </c>
      <c r="H2" s="96" t="s">
        <v>23</v>
      </c>
      <c r="J2" s="98"/>
      <c r="K2" s="99" t="s">
        <v>18</v>
      </c>
      <c r="L2" s="100" t="s">
        <v>19</v>
      </c>
      <c r="M2" s="99" t="s">
        <v>20</v>
      </c>
      <c r="N2" s="100" t="s">
        <v>21</v>
      </c>
      <c r="O2" s="100" t="s">
        <v>2</v>
      </c>
      <c r="P2" s="100" t="s">
        <v>22</v>
      </c>
      <c r="Q2" s="101" t="s">
        <v>23</v>
      </c>
      <c r="S2" s="102"/>
      <c r="T2" s="103" t="s">
        <v>18</v>
      </c>
      <c r="U2" s="104" t="s">
        <v>19</v>
      </c>
      <c r="V2" s="103" t="s">
        <v>20</v>
      </c>
      <c r="W2" s="104" t="s">
        <v>21</v>
      </c>
      <c r="X2" s="104" t="s">
        <v>2</v>
      </c>
      <c r="Y2" s="104" t="s">
        <v>22</v>
      </c>
      <c r="Z2" s="105" t="s">
        <v>23</v>
      </c>
      <c r="AB2" s="106"/>
      <c r="AC2" s="107" t="s">
        <v>18</v>
      </c>
      <c r="AD2" s="108" t="s">
        <v>19</v>
      </c>
      <c r="AE2" s="107" t="s">
        <v>20</v>
      </c>
      <c r="AF2" s="108" t="s">
        <v>21</v>
      </c>
      <c r="AG2" s="108" t="s">
        <v>2</v>
      </c>
      <c r="AH2" s="108" t="s">
        <v>22</v>
      </c>
      <c r="AI2" s="109" t="s">
        <v>23</v>
      </c>
    </row>
    <row r="3" spans="1:35" x14ac:dyDescent="0.25">
      <c r="A3" s="110" t="s">
        <v>24</v>
      </c>
      <c r="B3" s="111">
        <v>200</v>
      </c>
      <c r="C3" s="112">
        <v>10</v>
      </c>
      <c r="D3" s="112">
        <f t="shared" ref="D3:D6" si="0">B3*C3</f>
        <v>2000</v>
      </c>
      <c r="E3" s="111">
        <f>IF(B3&lt;=E7,B3,E7)</f>
        <v>200</v>
      </c>
      <c r="F3" s="113">
        <f>C3*E3</f>
        <v>2000</v>
      </c>
      <c r="G3" s="111">
        <f>B3-E3</f>
        <v>0</v>
      </c>
      <c r="H3" s="114">
        <f>C3*G3</f>
        <v>0</v>
      </c>
      <c r="J3" s="110" t="s">
        <v>24</v>
      </c>
      <c r="K3" s="111">
        <f>B3</f>
        <v>200</v>
      </c>
      <c r="L3" s="112">
        <f>C3</f>
        <v>10</v>
      </c>
      <c r="M3" s="112">
        <f>K3*L3</f>
        <v>2000</v>
      </c>
      <c r="N3" s="115"/>
      <c r="O3" s="113"/>
      <c r="P3" s="115"/>
      <c r="Q3" s="116"/>
      <c r="S3" s="110" t="s">
        <v>24</v>
      </c>
      <c r="T3" s="111">
        <f>B3</f>
        <v>200</v>
      </c>
      <c r="U3" s="112">
        <f>C3</f>
        <v>10</v>
      </c>
      <c r="V3" s="112">
        <f>T3*U3</f>
        <v>2000</v>
      </c>
      <c r="W3" s="111">
        <f>IF(T3+SUM(W4:W$6)&lt;=W$7,T3,W$7-SUM(W4:W$6))</f>
        <v>0</v>
      </c>
      <c r="X3" s="113">
        <f>U3*W3</f>
        <v>0</v>
      </c>
      <c r="Y3" s="111">
        <f>T3-W3</f>
        <v>200</v>
      </c>
      <c r="Z3" s="114">
        <f>U3*Y3</f>
        <v>2000</v>
      </c>
      <c r="AB3" s="110" t="s">
        <v>24</v>
      </c>
      <c r="AC3" s="111">
        <f>B3</f>
        <v>200</v>
      </c>
      <c r="AD3" s="112">
        <f>C3</f>
        <v>10</v>
      </c>
      <c r="AE3" s="112">
        <f>AC3*AD3</f>
        <v>2000</v>
      </c>
      <c r="AF3" s="111">
        <v>180</v>
      </c>
      <c r="AG3" s="113">
        <f>AD3*AF3</f>
        <v>1800</v>
      </c>
      <c r="AH3" s="111">
        <f>AC3-AF3</f>
        <v>20</v>
      </c>
      <c r="AI3" s="114">
        <f>AD3*AH3</f>
        <v>200</v>
      </c>
    </row>
    <row r="4" spans="1:35" x14ac:dyDescent="0.25">
      <c r="A4" s="110" t="s">
        <v>27</v>
      </c>
      <c r="B4" s="111">
        <v>150</v>
      </c>
      <c r="C4" s="112">
        <f>1800/B4</f>
        <v>12</v>
      </c>
      <c r="D4" s="112">
        <f t="shared" si="0"/>
        <v>1800</v>
      </c>
      <c r="E4" s="111">
        <f>IF(B4+SUM(E$3:E3)&lt;=E$7,B4,E$7-SUM(E$3:E3))</f>
        <v>100</v>
      </c>
      <c r="F4" s="113">
        <f t="shared" ref="F4:F6" si="1">C4*E4</f>
        <v>1200</v>
      </c>
      <c r="G4" s="111">
        <f t="shared" ref="G4:G6" si="2">B4-E4</f>
        <v>50</v>
      </c>
      <c r="H4" s="114">
        <f t="shared" ref="H4:H6" si="3">C4*G4</f>
        <v>600</v>
      </c>
      <c r="J4" s="110" t="s">
        <v>27</v>
      </c>
      <c r="K4" s="111">
        <f>B4</f>
        <v>150</v>
      </c>
      <c r="L4" s="112">
        <f t="shared" ref="L4:L6" si="4">C4</f>
        <v>12</v>
      </c>
      <c r="M4" s="112">
        <f t="shared" ref="M4:M6" si="5">K4*L4</f>
        <v>1800</v>
      </c>
      <c r="N4" s="115"/>
      <c r="O4" s="113"/>
      <c r="P4" s="115"/>
      <c r="Q4" s="116"/>
      <c r="S4" s="110" t="s">
        <v>27</v>
      </c>
      <c r="T4" s="111">
        <f t="shared" ref="T4:T6" si="6">B4</f>
        <v>150</v>
      </c>
      <c r="U4" s="112">
        <f t="shared" ref="U4:U6" si="7">C4</f>
        <v>12</v>
      </c>
      <c r="V4" s="112">
        <f t="shared" ref="V4:V6" si="8">T4*U4</f>
        <v>1800</v>
      </c>
      <c r="W4" s="111">
        <f>IF(T4+SUM(W5:W$6)&lt;=W$7,T4,W$7-SUM(W5:W$6))</f>
        <v>10</v>
      </c>
      <c r="X4" s="113">
        <f t="shared" ref="X4:X6" si="9">U4*W4</f>
        <v>120</v>
      </c>
      <c r="Y4" s="111">
        <f t="shared" ref="Y4:Y6" si="10">T4-W4</f>
        <v>140</v>
      </c>
      <c r="Z4" s="114">
        <f t="shared" ref="Z4:Z6" si="11">U4*Y4</f>
        <v>1680</v>
      </c>
      <c r="AB4" s="110" t="s">
        <v>27</v>
      </c>
      <c r="AC4" s="111">
        <f t="shared" ref="AC4:AC6" si="12">B4</f>
        <v>150</v>
      </c>
      <c r="AD4" s="112">
        <f t="shared" ref="AD4:AD6" si="13">C4</f>
        <v>12</v>
      </c>
      <c r="AE4" s="112">
        <f t="shared" ref="AE4:AE6" si="14">AC4*AD4</f>
        <v>1800</v>
      </c>
      <c r="AF4" s="111">
        <v>0</v>
      </c>
      <c r="AG4" s="113">
        <f t="shared" ref="AG4:AG6" si="15">AD4*AF4</f>
        <v>0</v>
      </c>
      <c r="AH4" s="111">
        <f t="shared" ref="AH4:AH6" si="16">AC4-AF4</f>
        <v>150</v>
      </c>
      <c r="AI4" s="114">
        <f t="shared" ref="AI4:AI6" si="17">AD4*AH4</f>
        <v>1800</v>
      </c>
    </row>
    <row r="5" spans="1:35" x14ac:dyDescent="0.25">
      <c r="A5" s="110" t="s">
        <v>28</v>
      </c>
      <c r="B5" s="111">
        <v>120</v>
      </c>
      <c r="C5" s="112">
        <f>1800/B5</f>
        <v>15</v>
      </c>
      <c r="D5" s="112">
        <f t="shared" si="0"/>
        <v>1800</v>
      </c>
      <c r="E5" s="111">
        <f>IF(B5+SUM(E$3:E4)&lt;=E$7,B5,E$7-SUM(E$3:E4))</f>
        <v>0</v>
      </c>
      <c r="F5" s="113">
        <f t="shared" si="1"/>
        <v>0</v>
      </c>
      <c r="G5" s="111">
        <f t="shared" si="2"/>
        <v>120</v>
      </c>
      <c r="H5" s="114">
        <f t="shared" si="3"/>
        <v>1800</v>
      </c>
      <c r="J5" s="110" t="s">
        <v>28</v>
      </c>
      <c r="K5" s="111">
        <f>B5</f>
        <v>120</v>
      </c>
      <c r="L5" s="112">
        <f t="shared" si="4"/>
        <v>15</v>
      </c>
      <c r="M5" s="112">
        <f t="shared" si="5"/>
        <v>1800</v>
      </c>
      <c r="N5" s="115"/>
      <c r="O5" s="113"/>
      <c r="P5" s="115"/>
      <c r="Q5" s="116"/>
      <c r="S5" s="110" t="s">
        <v>28</v>
      </c>
      <c r="T5" s="111">
        <f t="shared" si="6"/>
        <v>120</v>
      </c>
      <c r="U5" s="112">
        <f t="shared" si="7"/>
        <v>15</v>
      </c>
      <c r="V5" s="112">
        <f t="shared" si="8"/>
        <v>1800</v>
      </c>
      <c r="W5" s="111">
        <f>IF(T5+SUM(W6:W$6)&lt;=W$7,T5,W$7-SUM(W6:W$6))</f>
        <v>120</v>
      </c>
      <c r="X5" s="113">
        <f t="shared" si="9"/>
        <v>1800</v>
      </c>
      <c r="Y5" s="111">
        <f t="shared" si="10"/>
        <v>0</v>
      </c>
      <c r="Z5" s="114">
        <f t="shared" si="11"/>
        <v>0</v>
      </c>
      <c r="AB5" s="110" t="s">
        <v>28</v>
      </c>
      <c r="AC5" s="111">
        <f t="shared" si="12"/>
        <v>120</v>
      </c>
      <c r="AD5" s="112">
        <f t="shared" si="13"/>
        <v>15</v>
      </c>
      <c r="AE5" s="112">
        <f t="shared" si="14"/>
        <v>1800</v>
      </c>
      <c r="AF5" s="111">
        <v>0</v>
      </c>
      <c r="AG5" s="113">
        <f t="shared" si="15"/>
        <v>0</v>
      </c>
      <c r="AH5" s="111">
        <f t="shared" si="16"/>
        <v>120</v>
      </c>
      <c r="AI5" s="114">
        <f t="shared" si="17"/>
        <v>1800</v>
      </c>
    </row>
    <row r="6" spans="1:35" x14ac:dyDescent="0.25">
      <c r="A6" s="117" t="s">
        <v>29</v>
      </c>
      <c r="B6" s="118">
        <v>170</v>
      </c>
      <c r="C6" s="119">
        <f>2720/B6</f>
        <v>16</v>
      </c>
      <c r="D6" s="119">
        <f t="shared" si="0"/>
        <v>2720</v>
      </c>
      <c r="E6" s="118">
        <f>IF(B6+SUM(E$3:E5)&lt;=E$7,B6,E$7-SUM(E$3:E5))</f>
        <v>0</v>
      </c>
      <c r="F6" s="120">
        <f t="shared" si="1"/>
        <v>0</v>
      </c>
      <c r="G6" s="118">
        <f t="shared" si="2"/>
        <v>170</v>
      </c>
      <c r="H6" s="121">
        <f t="shared" si="3"/>
        <v>2720</v>
      </c>
      <c r="J6" s="117" t="s">
        <v>69</v>
      </c>
      <c r="K6" s="118">
        <f>B6</f>
        <v>170</v>
      </c>
      <c r="L6" s="119">
        <f t="shared" si="4"/>
        <v>16</v>
      </c>
      <c r="M6" s="119">
        <f t="shared" si="5"/>
        <v>2720</v>
      </c>
      <c r="N6" s="122"/>
      <c r="O6" s="120"/>
      <c r="P6" s="122"/>
      <c r="Q6" s="123"/>
      <c r="S6" s="117" t="s">
        <v>69</v>
      </c>
      <c r="T6" s="118">
        <f t="shared" si="6"/>
        <v>170</v>
      </c>
      <c r="U6" s="119">
        <f t="shared" si="7"/>
        <v>16</v>
      </c>
      <c r="V6" s="119">
        <f t="shared" si="8"/>
        <v>2720</v>
      </c>
      <c r="W6" s="118">
        <f>IF(T6&lt;=W7,T6,W7)</f>
        <v>170</v>
      </c>
      <c r="X6" s="120">
        <f t="shared" si="9"/>
        <v>2720</v>
      </c>
      <c r="Y6" s="118">
        <f t="shared" si="10"/>
        <v>0</v>
      </c>
      <c r="Z6" s="121">
        <f t="shared" si="11"/>
        <v>0</v>
      </c>
      <c r="AB6" s="117" t="s">
        <v>69</v>
      </c>
      <c r="AC6" s="118">
        <f t="shared" si="12"/>
        <v>170</v>
      </c>
      <c r="AD6" s="119">
        <f t="shared" si="13"/>
        <v>16</v>
      </c>
      <c r="AE6" s="119">
        <f t="shared" si="14"/>
        <v>2720</v>
      </c>
      <c r="AF6" s="118">
        <v>120</v>
      </c>
      <c r="AG6" s="120">
        <f t="shared" si="15"/>
        <v>1920</v>
      </c>
      <c r="AH6" s="118">
        <f t="shared" si="16"/>
        <v>50</v>
      </c>
      <c r="AI6" s="121">
        <f t="shared" si="17"/>
        <v>800</v>
      </c>
    </row>
    <row r="7" spans="1:35" x14ac:dyDescent="0.25">
      <c r="A7" s="124"/>
      <c r="B7" s="125">
        <f>SUM(B3:B6)</f>
        <v>640</v>
      </c>
      <c r="C7" s="126"/>
      <c r="D7" s="127">
        <f>SUM(D3:D6)</f>
        <v>8320</v>
      </c>
      <c r="E7" s="125">
        <v>300</v>
      </c>
      <c r="F7" s="127">
        <f>D7-H10</f>
        <v>5600</v>
      </c>
      <c r="G7" s="125">
        <f>B7-E7</f>
        <v>340</v>
      </c>
      <c r="H7" s="128">
        <f>SUM(H3:H6)</f>
        <v>5120</v>
      </c>
      <c r="J7" s="124"/>
      <c r="K7" s="125">
        <f>SUM(K3:K6)</f>
        <v>640</v>
      </c>
      <c r="L7" s="127">
        <f>ROUND(M7/K7,2)</f>
        <v>13</v>
      </c>
      <c r="M7" s="127">
        <f>SUM(M3:M6)</f>
        <v>8320</v>
      </c>
      <c r="N7" s="125">
        <f>E7</f>
        <v>300</v>
      </c>
      <c r="O7" s="127">
        <f>M7-Q10</f>
        <v>5600</v>
      </c>
      <c r="P7" s="125">
        <f>K7-N7</f>
        <v>340</v>
      </c>
      <c r="Q7" s="128">
        <f>P7*L7</f>
        <v>4420</v>
      </c>
      <c r="S7" s="124"/>
      <c r="T7" s="125">
        <f>SUM(T3:T6)</f>
        <v>640</v>
      </c>
      <c r="U7" s="126"/>
      <c r="V7" s="127">
        <f>SUM(V3:V6)</f>
        <v>8320</v>
      </c>
      <c r="W7" s="125">
        <f>E7</f>
        <v>300</v>
      </c>
      <c r="X7" s="127">
        <f>V7-Z10</f>
        <v>5600</v>
      </c>
      <c r="Y7" s="125">
        <f>T7-W7</f>
        <v>340</v>
      </c>
      <c r="Z7" s="128">
        <f>SUM(Z3:Z6)</f>
        <v>3680</v>
      </c>
      <c r="AB7" s="124"/>
      <c r="AC7" s="125">
        <f>SUM(AC3:AC6)</f>
        <v>640</v>
      </c>
      <c r="AD7" s="127">
        <f>ROUND(AE7/AC7,2)</f>
        <v>13</v>
      </c>
      <c r="AE7" s="127">
        <f>SUM(AE3:AE6)</f>
        <v>8320</v>
      </c>
      <c r="AF7" s="125">
        <f>SUM(AF3:AF6)</f>
        <v>300</v>
      </c>
      <c r="AG7" s="127">
        <f>AE7-AI10</f>
        <v>5600</v>
      </c>
      <c r="AH7" s="125">
        <f>AC7-AF7</f>
        <v>340</v>
      </c>
      <c r="AI7" s="128">
        <f>SUM(AI3:AI6)</f>
        <v>4600</v>
      </c>
    </row>
    <row r="8" spans="1:35" x14ac:dyDescent="0.25">
      <c r="A8" s="124" t="s">
        <v>26</v>
      </c>
      <c r="B8" s="129"/>
      <c r="C8" s="127">
        <v>8</v>
      </c>
      <c r="D8" s="129"/>
      <c r="E8" s="129"/>
      <c r="F8" s="129"/>
      <c r="G8" s="129"/>
      <c r="H8" s="128">
        <f>G7*C8</f>
        <v>2720</v>
      </c>
      <c r="J8" s="124" t="s">
        <v>26</v>
      </c>
      <c r="K8" s="129"/>
      <c r="L8" s="127">
        <f>C8</f>
        <v>8</v>
      </c>
      <c r="M8" s="129"/>
      <c r="N8" s="129"/>
      <c r="O8" s="129"/>
      <c r="P8" s="129"/>
      <c r="Q8" s="128">
        <f>P7*L8</f>
        <v>2720</v>
      </c>
      <c r="S8" s="124" t="s">
        <v>26</v>
      </c>
      <c r="T8" s="129"/>
      <c r="U8" s="127">
        <f>C8</f>
        <v>8</v>
      </c>
      <c r="V8" s="129"/>
      <c r="W8" s="129"/>
      <c r="X8" s="129"/>
      <c r="Y8" s="129"/>
      <c r="Z8" s="128">
        <f>Y7*U8</f>
        <v>2720</v>
      </c>
      <c r="AB8" s="124" t="s">
        <v>26</v>
      </c>
      <c r="AC8" s="129"/>
      <c r="AD8" s="127">
        <f>C8</f>
        <v>8</v>
      </c>
      <c r="AE8" s="129"/>
      <c r="AF8" s="129"/>
      <c r="AG8" s="129"/>
      <c r="AH8" s="129"/>
      <c r="AI8" s="128">
        <f>AH7*AD8</f>
        <v>2720</v>
      </c>
    </row>
    <row r="9" spans="1:35" x14ac:dyDescent="0.25">
      <c r="A9" s="124" t="s">
        <v>30</v>
      </c>
      <c r="B9" s="129"/>
      <c r="C9" s="127">
        <v>20</v>
      </c>
      <c r="D9" s="129"/>
      <c r="E9" s="129"/>
      <c r="F9" s="129"/>
      <c r="G9" s="129"/>
      <c r="H9" s="128"/>
      <c r="J9" s="124" t="s">
        <v>30</v>
      </c>
      <c r="K9" s="129"/>
      <c r="L9" s="127">
        <f>C9</f>
        <v>20</v>
      </c>
      <c r="M9" s="129"/>
      <c r="N9" s="129"/>
      <c r="O9" s="129"/>
      <c r="P9" s="129"/>
      <c r="Q9" s="128"/>
      <c r="S9" s="124" t="s">
        <v>30</v>
      </c>
      <c r="T9" s="129"/>
      <c r="U9" s="127">
        <f>C9</f>
        <v>20</v>
      </c>
      <c r="V9" s="129"/>
      <c r="W9" s="129"/>
      <c r="X9" s="129"/>
      <c r="Y9" s="129"/>
      <c r="Z9" s="128"/>
      <c r="AB9" s="124" t="s">
        <v>30</v>
      </c>
      <c r="AC9" s="129"/>
      <c r="AD9" s="127">
        <f>C9</f>
        <v>20</v>
      </c>
      <c r="AE9" s="129"/>
      <c r="AF9" s="129"/>
      <c r="AG9" s="129"/>
      <c r="AH9" s="129"/>
      <c r="AI9" s="128"/>
    </row>
    <row r="10" spans="1:35" ht="16.5" thickBot="1" x14ac:dyDescent="0.3">
      <c r="A10" s="130" t="s">
        <v>25</v>
      </c>
      <c r="B10" s="131"/>
      <c r="C10" s="131"/>
      <c r="D10" s="131"/>
      <c r="E10" s="131"/>
      <c r="F10" s="131"/>
      <c r="G10" s="131"/>
      <c r="H10" s="132">
        <f>MIN(H7:H8)</f>
        <v>2720</v>
      </c>
      <c r="J10" s="130" t="s">
        <v>25</v>
      </c>
      <c r="K10" s="131"/>
      <c r="L10" s="131"/>
      <c r="M10" s="131"/>
      <c r="N10" s="131"/>
      <c r="O10" s="131"/>
      <c r="P10" s="131"/>
      <c r="Q10" s="132">
        <f>MIN(Q7:Q8)</f>
        <v>2720</v>
      </c>
      <c r="S10" s="130" t="s">
        <v>25</v>
      </c>
      <c r="T10" s="131"/>
      <c r="U10" s="131"/>
      <c r="V10" s="131"/>
      <c r="W10" s="131"/>
      <c r="X10" s="131"/>
      <c r="Y10" s="131"/>
      <c r="Z10" s="132">
        <f>MIN(Z7:Z8)</f>
        <v>2720</v>
      </c>
      <c r="AB10" s="130" t="s">
        <v>25</v>
      </c>
      <c r="AC10" s="131"/>
      <c r="AD10" s="131"/>
      <c r="AE10" s="131"/>
      <c r="AF10" s="131"/>
      <c r="AG10" s="131"/>
      <c r="AH10" s="131"/>
      <c r="AI10" s="132">
        <f>MIN(AI7:AI8)</f>
        <v>2720</v>
      </c>
    </row>
    <row r="11" spans="1:35" ht="16.5" thickBot="1" x14ac:dyDescent="0.3">
      <c r="B11" s="133"/>
      <c r="C11" s="134"/>
      <c r="D11" s="134"/>
      <c r="L11" s="135"/>
      <c r="T11" s="133"/>
      <c r="U11" s="134"/>
      <c r="V11" s="134"/>
      <c r="AD11" s="135"/>
    </row>
    <row r="12" spans="1:35" x14ac:dyDescent="0.25">
      <c r="A12" s="285" t="s">
        <v>33</v>
      </c>
      <c r="B12" s="286"/>
      <c r="C12" s="134"/>
      <c r="D12" s="134"/>
      <c r="J12" s="285" t="s">
        <v>33</v>
      </c>
      <c r="K12" s="286"/>
      <c r="S12" s="285" t="s">
        <v>33</v>
      </c>
      <c r="T12" s="286"/>
      <c r="U12" s="134"/>
      <c r="V12" s="134"/>
      <c r="AB12" s="285" t="s">
        <v>33</v>
      </c>
      <c r="AC12" s="286"/>
    </row>
    <row r="13" spans="1:35" ht="16.5" thickBot="1" x14ac:dyDescent="0.3">
      <c r="A13" s="280" t="s">
        <v>73</v>
      </c>
      <c r="B13" s="281"/>
      <c r="C13" s="134"/>
      <c r="D13" s="134"/>
      <c r="J13" s="280" t="s">
        <v>73</v>
      </c>
      <c r="K13" s="281"/>
      <c r="S13" s="280" t="s">
        <v>73</v>
      </c>
      <c r="T13" s="281"/>
      <c r="U13" s="134"/>
      <c r="V13" s="134"/>
      <c r="AB13" s="280" t="s">
        <v>73</v>
      </c>
      <c r="AC13" s="281"/>
    </row>
    <row r="14" spans="1:35" x14ac:dyDescent="0.25">
      <c r="A14" s="136" t="s">
        <v>14</v>
      </c>
      <c r="B14" s="137">
        <f>E7*C9</f>
        <v>6000</v>
      </c>
      <c r="C14" s="134"/>
      <c r="D14" s="134"/>
      <c r="J14" s="136" t="s">
        <v>14</v>
      </c>
      <c r="K14" s="137">
        <f>N7*L9</f>
        <v>6000</v>
      </c>
      <c r="S14" s="136" t="s">
        <v>14</v>
      </c>
      <c r="T14" s="137">
        <f>W7*U9</f>
        <v>6000</v>
      </c>
      <c r="U14" s="134"/>
      <c r="V14" s="134"/>
      <c r="AB14" s="136" t="s">
        <v>14</v>
      </c>
      <c r="AC14" s="137">
        <f>AF7*AD9</f>
        <v>6000</v>
      </c>
    </row>
    <row r="15" spans="1:35" x14ac:dyDescent="0.25">
      <c r="A15" s="117" t="s">
        <v>2</v>
      </c>
      <c r="B15" s="121">
        <f>-F7</f>
        <v>-5600</v>
      </c>
      <c r="C15" s="134"/>
      <c r="D15" s="134"/>
      <c r="J15" s="117" t="s">
        <v>2</v>
      </c>
      <c r="K15" s="121">
        <f>-O7</f>
        <v>-5600</v>
      </c>
      <c r="S15" s="117" t="s">
        <v>2</v>
      </c>
      <c r="T15" s="121">
        <f>-X7</f>
        <v>-5600</v>
      </c>
      <c r="U15" s="134"/>
      <c r="V15" s="134"/>
      <c r="AB15" s="117" t="s">
        <v>2</v>
      </c>
      <c r="AC15" s="121">
        <f>-AG7</f>
        <v>-5600</v>
      </c>
    </row>
    <row r="16" spans="1:35" x14ac:dyDescent="0.25">
      <c r="A16" s="138" t="s">
        <v>0</v>
      </c>
      <c r="B16" s="139">
        <f>SUM(B14:B15)</f>
        <v>400</v>
      </c>
      <c r="C16" s="134"/>
      <c r="D16" s="134"/>
      <c r="J16" s="138" t="s">
        <v>0</v>
      </c>
      <c r="K16" s="139">
        <f>SUM(K14:K15)</f>
        <v>400</v>
      </c>
      <c r="S16" s="138" t="s">
        <v>0</v>
      </c>
      <c r="T16" s="139">
        <f>SUM(T14:T15)</f>
        <v>400</v>
      </c>
      <c r="U16" s="134"/>
      <c r="V16" s="134"/>
      <c r="AB16" s="138" t="s">
        <v>0</v>
      </c>
      <c r="AC16" s="139">
        <f>SUM(AC14:AC15)</f>
        <v>400</v>
      </c>
    </row>
    <row r="17" spans="1:29" x14ac:dyDescent="0.25">
      <c r="A17" s="117" t="s">
        <v>31</v>
      </c>
      <c r="B17" s="121">
        <f>-1500</f>
        <v>-1500</v>
      </c>
      <c r="C17" s="134"/>
      <c r="D17" s="134"/>
      <c r="J17" s="117" t="s">
        <v>31</v>
      </c>
      <c r="K17" s="121">
        <f>B17</f>
        <v>-1500</v>
      </c>
      <c r="S17" s="117" t="s">
        <v>31</v>
      </c>
      <c r="T17" s="121">
        <f>B17</f>
        <v>-1500</v>
      </c>
      <c r="U17" s="134"/>
      <c r="V17" s="134"/>
      <c r="AB17" s="117" t="s">
        <v>31</v>
      </c>
      <c r="AC17" s="121">
        <f>B17</f>
        <v>-1500</v>
      </c>
    </row>
    <row r="18" spans="1:29" x14ac:dyDescent="0.25">
      <c r="A18" s="138" t="s">
        <v>17</v>
      </c>
      <c r="B18" s="139">
        <f>SUM(B16:B17)</f>
        <v>-1100</v>
      </c>
      <c r="C18" s="134"/>
      <c r="D18" s="134"/>
      <c r="J18" s="138" t="s">
        <v>17</v>
      </c>
      <c r="K18" s="139">
        <f>SUM(K16:K17)</f>
        <v>-1100</v>
      </c>
      <c r="S18" s="138" t="s">
        <v>17</v>
      </c>
      <c r="T18" s="139">
        <f>SUM(T16:T17)</f>
        <v>-1100</v>
      </c>
      <c r="U18" s="134"/>
      <c r="V18" s="134"/>
      <c r="AB18" s="138" t="s">
        <v>17</v>
      </c>
      <c r="AC18" s="139">
        <f>SUM(AC16:AC17)</f>
        <v>-1100</v>
      </c>
    </row>
    <row r="19" spans="1:29" x14ac:dyDescent="0.25">
      <c r="A19" s="117" t="s">
        <v>32</v>
      </c>
      <c r="B19" s="121">
        <f>-B18*20%</f>
        <v>220</v>
      </c>
      <c r="C19" s="134"/>
      <c r="D19" s="134"/>
      <c r="J19" s="117" t="s">
        <v>32</v>
      </c>
      <c r="K19" s="121">
        <f>-K18*20%</f>
        <v>220</v>
      </c>
      <c r="S19" s="117" t="s">
        <v>32</v>
      </c>
      <c r="T19" s="121">
        <f>-T18*20%</f>
        <v>220</v>
      </c>
      <c r="U19" s="134"/>
      <c r="V19" s="134"/>
      <c r="AB19" s="117" t="s">
        <v>32</v>
      </c>
      <c r="AC19" s="121">
        <f>-AC18*20%</f>
        <v>220</v>
      </c>
    </row>
    <row r="20" spans="1:29" ht="16.5" thickBot="1" x14ac:dyDescent="0.3">
      <c r="A20" s="130" t="s">
        <v>1</v>
      </c>
      <c r="B20" s="132">
        <f>B18+B19</f>
        <v>-880</v>
      </c>
      <c r="C20" s="134"/>
      <c r="D20" s="134"/>
      <c r="J20" s="130" t="s">
        <v>1</v>
      </c>
      <c r="K20" s="132">
        <f>K18+K19</f>
        <v>-880</v>
      </c>
      <c r="S20" s="130" t="s">
        <v>1</v>
      </c>
      <c r="T20" s="132">
        <f>T18+T19</f>
        <v>-880</v>
      </c>
      <c r="U20" s="134"/>
      <c r="V20" s="134"/>
      <c r="AB20" s="130" t="s">
        <v>1</v>
      </c>
      <c r="AC20" s="132">
        <f>AC18+AC19</f>
        <v>-880</v>
      </c>
    </row>
    <row r="21" spans="1:29" x14ac:dyDescent="0.25">
      <c r="B21" s="133"/>
      <c r="C21" s="134"/>
      <c r="D21" s="134"/>
      <c r="T21" s="133"/>
      <c r="U21" s="134"/>
      <c r="V21" s="134"/>
    </row>
  </sheetData>
  <mergeCells count="12">
    <mergeCell ref="A1:H1"/>
    <mergeCell ref="J1:Q1"/>
    <mergeCell ref="S1:Z1"/>
    <mergeCell ref="AB1:AI1"/>
    <mergeCell ref="A13:B13"/>
    <mergeCell ref="J13:K13"/>
    <mergeCell ref="S13:T13"/>
    <mergeCell ref="AB13:AC13"/>
    <mergeCell ref="A12:B12"/>
    <mergeCell ref="J12:K12"/>
    <mergeCell ref="S12:T12"/>
    <mergeCell ref="AB12:A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Subject 1</vt:lpstr>
      <vt:lpstr>Subject 2 - Adjustments</vt:lpstr>
      <vt:lpstr>Subject 2 - Closing entries</vt:lpstr>
      <vt:lpstr>Subject 3</vt:lpstr>
      <vt:lpstr>Subject 4 high NRV</vt:lpstr>
      <vt:lpstr>Subject 4 low NRV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ILIAS CHRISTAKIS</dc:creator>
  <cp:keywords/>
  <dc:description/>
  <cp:lastModifiedBy>user</cp:lastModifiedBy>
  <dcterms:created xsi:type="dcterms:W3CDTF">2014-12-27T13:56:02Z</dcterms:created>
  <dcterms:modified xsi:type="dcterms:W3CDTF">2021-11-25T23:18:07Z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eec63937-11e6-4a85-96e4-b6a1fb725418</vt:lpwstr>
  </property>
</Properties>
</file>