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Θέμα 1" sheetId="1" r:id="rId1"/>
    <sheet name="Θέμα 2" sheetId="2" r:id="rId2"/>
    <sheet name="Θέμα 3" sheetId="3" r:id="rId3"/>
    <sheet name="Θέμα 4" sheetId="4" r:id="rId4"/>
  </sheets>
  <calcPr calcId="145621"/>
</workbook>
</file>

<file path=xl/calcChain.xml><?xml version="1.0" encoding="utf-8"?>
<calcChain xmlns="http://schemas.openxmlformats.org/spreadsheetml/2006/main">
  <c r="C19" i="3" l="1"/>
  <c r="B19" i="3"/>
  <c r="B16" i="3"/>
  <c r="B13" i="3"/>
  <c r="B36" i="2"/>
  <c r="F23" i="4" l="1"/>
  <c r="F20" i="4"/>
  <c r="F19" i="4"/>
  <c r="E18" i="4"/>
  <c r="E17" i="4"/>
  <c r="E16" i="4"/>
  <c r="E15" i="4"/>
  <c r="E14" i="4"/>
  <c r="E13" i="4"/>
  <c r="F10" i="4"/>
  <c r="F9" i="4"/>
  <c r="F7" i="4"/>
  <c r="F6" i="4"/>
  <c r="F3" i="4"/>
  <c r="I19" i="3" l="1"/>
  <c r="H19" i="3"/>
  <c r="G19" i="3"/>
  <c r="I15" i="3"/>
  <c r="H15" i="3"/>
  <c r="G15" i="3"/>
  <c r="B12" i="3"/>
  <c r="B10" i="3"/>
  <c r="B37" i="2"/>
  <c r="B39" i="2" s="1"/>
  <c r="B43" i="2" s="1"/>
  <c r="B27" i="2"/>
  <c r="B34" i="2"/>
  <c r="B33" i="2"/>
  <c r="B32" i="2"/>
  <c r="B31" i="2"/>
  <c r="B30" i="2"/>
  <c r="B29" i="2"/>
  <c r="B28" i="2"/>
  <c r="B26" i="2"/>
  <c r="B22" i="2"/>
  <c r="B21" i="2"/>
  <c r="B20" i="2"/>
  <c r="B19" i="2"/>
  <c r="B18" i="2"/>
  <c r="H18" i="2"/>
  <c r="B17" i="2"/>
  <c r="B16" i="2"/>
  <c r="B15" i="2"/>
  <c r="B14" i="2"/>
  <c r="C11" i="2"/>
  <c r="D11" i="2"/>
  <c r="E11" i="2"/>
  <c r="B11" i="2"/>
  <c r="C10" i="2"/>
  <c r="D10" i="2"/>
  <c r="E10" i="2"/>
  <c r="B10" i="2"/>
  <c r="C9" i="2"/>
  <c r="D9" i="2"/>
  <c r="E9" i="2"/>
  <c r="B9" i="2"/>
  <c r="C8" i="2"/>
  <c r="D8" i="2"/>
  <c r="E8" i="2"/>
  <c r="B8" i="2"/>
  <c r="C7" i="2"/>
  <c r="D7" i="2"/>
  <c r="E7" i="2"/>
  <c r="B7" i="2"/>
  <c r="C6" i="2"/>
  <c r="D6" i="2"/>
  <c r="E6" i="2"/>
  <c r="B6" i="2"/>
  <c r="H24" i="1" l="1"/>
  <c r="L21" i="1" l="1"/>
  <c r="I21" i="1"/>
  <c r="J21" i="1"/>
  <c r="K21" i="1"/>
  <c r="H21" i="1"/>
  <c r="L20" i="1"/>
  <c r="L19" i="1"/>
  <c r="L18" i="1"/>
  <c r="K18" i="1"/>
  <c r="J18" i="1"/>
  <c r="I18" i="1"/>
  <c r="H18" i="1"/>
  <c r="I17" i="1"/>
  <c r="J17" i="1"/>
  <c r="K17" i="1"/>
  <c r="L17" i="1"/>
  <c r="H17" i="1"/>
  <c r="I16" i="1"/>
  <c r="J16" i="1"/>
  <c r="K16" i="1"/>
  <c r="L16" i="1"/>
  <c r="H16" i="1"/>
  <c r="I15" i="1"/>
  <c r="J15" i="1"/>
  <c r="K15" i="1"/>
  <c r="L15" i="1"/>
  <c r="H15" i="1"/>
  <c r="L14" i="1"/>
  <c r="K14" i="1"/>
  <c r="J14" i="1"/>
  <c r="I14" i="1"/>
  <c r="H14" i="1"/>
  <c r="I13" i="1"/>
  <c r="J13" i="1"/>
  <c r="K13" i="1"/>
  <c r="L13" i="1"/>
  <c r="H13" i="1"/>
  <c r="I12" i="1"/>
  <c r="J12" i="1"/>
  <c r="K12" i="1"/>
  <c r="L12" i="1"/>
  <c r="H12" i="1"/>
  <c r="I10" i="1"/>
  <c r="J10" i="1"/>
  <c r="K10" i="1"/>
  <c r="L10" i="1"/>
  <c r="H10" i="1"/>
  <c r="E14" i="1"/>
  <c r="E13" i="1"/>
  <c r="D13" i="1"/>
  <c r="C13" i="1"/>
  <c r="B13" i="1"/>
  <c r="A13" i="1"/>
  <c r="E4" i="1" l="1"/>
  <c r="E2" i="1"/>
</calcChain>
</file>

<file path=xl/sharedStrings.xml><?xml version="1.0" encoding="utf-8"?>
<sst xmlns="http://schemas.openxmlformats.org/spreadsheetml/2006/main" count="149" uniqueCount="132">
  <si>
    <t xml:space="preserve">Κόστος αγοράς </t>
  </si>
  <si>
    <t xml:space="preserve">Έξοδα μεταφοράς </t>
  </si>
  <si>
    <t xml:space="preserve">Έξοδα εγκατάστασης </t>
  </si>
  <si>
    <t xml:space="preserve">Αρχικό κόστος </t>
  </si>
  <si>
    <t>Ωφέλιμη διάρκεια</t>
  </si>
  <si>
    <t>Υπολειμματική αξία</t>
  </si>
  <si>
    <t>Ετήσια απόσβεση</t>
  </si>
  <si>
    <t>Φορολογικός συντελεστής</t>
  </si>
  <si>
    <t>Κόστος κεφαλαίου</t>
  </si>
  <si>
    <t>Πωλήσεις σε τεμάχια</t>
  </si>
  <si>
    <t>Έξοδα διοίκησης και διάθεσης</t>
  </si>
  <si>
    <t>Κεφάλαιο κίνησης</t>
  </si>
  <si>
    <t>Έτος</t>
  </si>
  <si>
    <t>Μεταβλητό κόστος ανά μονάδα προϊόντος</t>
  </si>
  <si>
    <t>Τιμή πώλησης ανά μονάδα προϊόντος</t>
  </si>
  <si>
    <t>(Α) Έσοδα</t>
  </si>
  <si>
    <t>(Β) Έξοδα</t>
  </si>
  <si>
    <t>Έξοδα Διοίκησης και Διάθεσης</t>
  </si>
  <si>
    <t>(Γ) Αποσβέσεις</t>
  </si>
  <si>
    <t>Φορολογητέα Κέρδη = [(Α)-(Β)-(Γ)]</t>
  </si>
  <si>
    <t>(Δ) Φόρος</t>
  </si>
  <si>
    <t>ΚΤΡ μετά φόρου = [(Α)-(Β)-(Δ)]</t>
  </si>
  <si>
    <t>(Ε) (-) Μεταβολή σε κεφάλαιο κίνησης</t>
  </si>
  <si>
    <t>(Στ) (+) Υπολειμματική Αξία</t>
  </si>
  <si>
    <t>(Ζ) (+) Απελευθέρωση Κεφαλαίου Κίνησης</t>
  </si>
  <si>
    <t>Τελικές ΚΤΡ = ΚΤΡ μετά φόρου - (Ε) + (Στ) +(Ζ)</t>
  </si>
  <si>
    <t>Α.</t>
  </si>
  <si>
    <t>Έτος 1</t>
  </si>
  <si>
    <t>Έτος 2</t>
  </si>
  <si>
    <t>Έτος 3</t>
  </si>
  <si>
    <t>Έτος 4</t>
  </si>
  <si>
    <t>Έτος 5</t>
  </si>
  <si>
    <t>Β.</t>
  </si>
  <si>
    <r>
      <t xml:space="preserve">Πωλήσεις σε </t>
    </r>
    <r>
      <rPr>
        <sz val="11"/>
        <color theme="1"/>
        <rFont val="Calibri"/>
        <family val="2"/>
        <charset val="161"/>
      </rPr>
      <t>€</t>
    </r>
  </si>
  <si>
    <r>
      <t xml:space="preserve">Μεταβλητό Κόστος σε </t>
    </r>
    <r>
      <rPr>
        <sz val="11"/>
        <color theme="1"/>
        <rFont val="Calibri"/>
        <family val="2"/>
        <charset val="161"/>
      </rPr>
      <t>€</t>
    </r>
  </si>
  <si>
    <t>Γ.</t>
  </si>
  <si>
    <t>ΚΠΑ</t>
  </si>
  <si>
    <t>&gt;</t>
  </si>
  <si>
    <t>Αποδεκτή</t>
  </si>
  <si>
    <t>Παραγωγή (Μονάδες)</t>
  </si>
  <si>
    <r>
      <t>Τιμή (</t>
    </r>
    <r>
      <rPr>
        <b/>
        <sz val="11"/>
        <color theme="1"/>
        <rFont val="Calibri"/>
        <family val="2"/>
        <charset val="161"/>
      </rPr>
      <t>€ ανά μονάδα)</t>
    </r>
  </si>
  <si>
    <r>
      <t>Κόστος (</t>
    </r>
    <r>
      <rPr>
        <b/>
        <sz val="11"/>
        <color theme="1"/>
        <rFont val="Calibri"/>
        <family val="2"/>
        <charset val="161"/>
      </rPr>
      <t>€ ανά μονάδα)</t>
    </r>
  </si>
  <si>
    <t>Μετοχές</t>
  </si>
  <si>
    <t>Κόστος μετοχικού κεφαλαίου</t>
  </si>
  <si>
    <t>d2022</t>
  </si>
  <si>
    <t>d2023-2024</t>
  </si>
  <si>
    <t>d2025</t>
  </si>
  <si>
    <t>D2030 (ΜΕΡ2030)</t>
  </si>
  <si>
    <r>
      <t>g2030-</t>
    </r>
    <r>
      <rPr>
        <sz val="11"/>
        <color theme="1"/>
        <rFont val="Calibri"/>
        <family val="2"/>
        <charset val="161"/>
      </rPr>
      <t>∞</t>
    </r>
  </si>
  <si>
    <t>Πωλήσεις σε €</t>
  </si>
  <si>
    <t>Κόστος σε €</t>
  </si>
  <si>
    <t>Φορολογητέα Κέρδη</t>
  </si>
  <si>
    <t>Φόρος</t>
  </si>
  <si>
    <t>Κέρδη μετά φόρων</t>
  </si>
  <si>
    <t>Κέρδη ανά μετοχή</t>
  </si>
  <si>
    <t>Μέρισμα 2022</t>
  </si>
  <si>
    <t>Μέρισμα 2023</t>
  </si>
  <si>
    <t>Μέρισμα 2024</t>
  </si>
  <si>
    <t>Μέρισμα 2025</t>
  </si>
  <si>
    <t>Μέρισμα 2026</t>
  </si>
  <si>
    <t>Μέρισμα 2027</t>
  </si>
  <si>
    <t>Μέρισμα 2028</t>
  </si>
  <si>
    <t>Μέρισμα 2029</t>
  </si>
  <si>
    <t>Μέρισμα 2030</t>
  </si>
  <si>
    <t>g2026-2030</t>
  </si>
  <si>
    <t>Προεξόξληση μερίσματος 2022</t>
  </si>
  <si>
    <t>Προεξόξληση μερίσματος 2023</t>
  </si>
  <si>
    <t>Προεξόξληση μερίσματος 2024</t>
  </si>
  <si>
    <t>Προεξόξληση μερίσματος 2025</t>
  </si>
  <si>
    <t>Προεξόξληση μερίσματος 2026</t>
  </si>
  <si>
    <t>Προεξόξληση μερίσματος 2027</t>
  </si>
  <si>
    <t>Προεξόξληση μερίσματος 2028</t>
  </si>
  <si>
    <t>Προεξόξληση μερίσματος 2029</t>
  </si>
  <si>
    <t>Προεξόξληση μερίσματος 2030</t>
  </si>
  <si>
    <t>IV2030</t>
  </si>
  <si>
    <t>Προεξόφληση IV2030</t>
  </si>
  <si>
    <t>IV2021</t>
  </si>
  <si>
    <t>Οικονομική αξία</t>
  </si>
  <si>
    <t>&lt;</t>
  </si>
  <si>
    <t>Χρηματιστηριακή τιμή</t>
  </si>
  <si>
    <t>Προτείνεται να την πουλήσουν</t>
  </si>
  <si>
    <t>Ποσό ετήσιας πληρωμής</t>
  </si>
  <si>
    <t>απόδοση</t>
  </si>
  <si>
    <t>Έτη πληρωμών</t>
  </si>
  <si>
    <t>Ετήσιο ποσό είσπραξης</t>
  </si>
  <si>
    <t xml:space="preserve">από το έτος </t>
  </si>
  <si>
    <t>i.</t>
  </si>
  <si>
    <t>ΠΑ πληρωμών</t>
  </si>
  <si>
    <t>Προεξόφληση εισπράξεων στο έτος 11</t>
  </si>
  <si>
    <t>ΠΑ εισπράξεων</t>
  </si>
  <si>
    <t>Επένδυση</t>
  </si>
  <si>
    <t>Α</t>
  </si>
  <si>
    <t>Β</t>
  </si>
  <si>
    <t>Γ</t>
  </si>
  <si>
    <t>Δ</t>
  </si>
  <si>
    <t xml:space="preserve">Ε </t>
  </si>
  <si>
    <t>Ζ</t>
  </si>
  <si>
    <t>Η</t>
  </si>
  <si>
    <t>Θ</t>
  </si>
  <si>
    <t>Αρχική επένδυση Κ0</t>
  </si>
  <si>
    <t>ΔΑ</t>
  </si>
  <si>
    <t>Κόστος Κ0</t>
  </si>
  <si>
    <t>Μέγιστη δαπάνη</t>
  </si>
  <si>
    <t>ΖΗ</t>
  </si>
  <si>
    <t>Επιλογή με ΚΠΑ</t>
  </si>
  <si>
    <t>Επιλογή με ΔΑ</t>
  </si>
  <si>
    <t>ΖΒΓΔ</t>
  </si>
  <si>
    <t>Συνολικό κόστος</t>
  </si>
  <si>
    <t>ΑΜΚ</t>
  </si>
  <si>
    <t>Τραπεζικό Δάνειο</t>
  </si>
  <si>
    <t>Ομολογιακό Δάνειο</t>
  </si>
  <si>
    <t>P0</t>
  </si>
  <si>
    <t>D0</t>
  </si>
  <si>
    <t>g</t>
  </si>
  <si>
    <t>k</t>
  </si>
  <si>
    <t>Επιτόκιο δανείου</t>
  </si>
  <si>
    <t>Περιθώριο κινδύνου</t>
  </si>
  <si>
    <t>Ονομαστική αξία</t>
  </si>
  <si>
    <t>εκδοτικό επιτόκιο</t>
  </si>
  <si>
    <t>Τιμή έκδοσης</t>
  </si>
  <si>
    <t>ii.</t>
  </si>
  <si>
    <t>Κόστος τραπεζικού δανείου</t>
  </si>
  <si>
    <t>Κόστος τραπεζικού δανείου μετά φόρων</t>
  </si>
  <si>
    <t>Κουπόνι Ομολόγου</t>
  </si>
  <si>
    <t>Τιμή στην έκδοση</t>
  </si>
  <si>
    <t>Κόστος Ομολογιακού δανεισμού</t>
  </si>
  <si>
    <t>Υπολογισμός κόστους ομολογιακού δανεισμού</t>
  </si>
  <si>
    <t>Κόστος Ομολογιακού δανεισμού μετά φόρων</t>
  </si>
  <si>
    <t>iii.</t>
  </si>
  <si>
    <t>ΜΣΚΚ</t>
  </si>
  <si>
    <t>ΜΑ πληρωμών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</si>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</sst>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Font="1"/>
    <xf numFmtId="4" fontId="0" fillId="0" borderId="0" xfId="0" applyNumberFormat="1"/>
    <xf numFmtId="0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I28" sqref="I28"/>
    </sheetView>
  </sheetViews>
  <sheetFormatPr defaultRowHeight="14.4" x14ac:dyDescent="0.3"/>
  <cols>
    <col min="1" max="1" width="23.109375" bestFit="1" customWidth="1"/>
    <col min="4" max="4" width="15.88671875" bestFit="1" customWidth="1"/>
    <col min="7" max="7" width="40" bestFit="1" customWidth="1"/>
  </cols>
  <sheetData>
    <row r="1" spans="1:13" ht="15.6" x14ac:dyDescent="0.3">
      <c r="A1" s="1"/>
    </row>
    <row r="2" spans="1:13" x14ac:dyDescent="0.3">
      <c r="A2" t="s">
        <v>0</v>
      </c>
      <c r="B2" s="2">
        <v>100000</v>
      </c>
      <c r="D2" t="s">
        <v>3</v>
      </c>
      <c r="E2" s="2">
        <f>B2+B3+B4</f>
        <v>104000</v>
      </c>
      <c r="G2" s="6" t="s">
        <v>12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/>
    </row>
    <row r="3" spans="1:13" x14ac:dyDescent="0.3">
      <c r="A3" t="s">
        <v>1</v>
      </c>
      <c r="B3" s="2">
        <v>3000</v>
      </c>
      <c r="G3" s="6" t="s">
        <v>9</v>
      </c>
      <c r="H3" s="7">
        <v>200000</v>
      </c>
      <c r="I3" s="7">
        <v>250000</v>
      </c>
      <c r="J3" s="7">
        <v>350000</v>
      </c>
      <c r="K3" s="7">
        <v>300000</v>
      </c>
      <c r="L3" s="7">
        <v>150000</v>
      </c>
      <c r="M3" s="5"/>
    </row>
    <row r="4" spans="1:13" x14ac:dyDescent="0.3">
      <c r="A4" t="s">
        <v>2</v>
      </c>
      <c r="B4" s="2">
        <v>1000</v>
      </c>
      <c r="D4" t="s">
        <v>6</v>
      </c>
      <c r="E4">
        <f>(E2-B6)/B5</f>
        <v>18800</v>
      </c>
      <c r="G4" s="6" t="s">
        <v>13</v>
      </c>
      <c r="H4" s="5">
        <v>1</v>
      </c>
      <c r="I4" s="5">
        <v>1.05</v>
      </c>
      <c r="J4" s="8">
        <v>1.1000000000000001</v>
      </c>
      <c r="K4" s="5">
        <v>1.1499999999999999</v>
      </c>
      <c r="L4" s="5">
        <v>1.2</v>
      </c>
      <c r="M4" s="5"/>
    </row>
    <row r="5" spans="1:13" x14ac:dyDescent="0.3">
      <c r="A5" t="s">
        <v>4</v>
      </c>
      <c r="B5" s="2">
        <v>5</v>
      </c>
      <c r="G5" s="6" t="s">
        <v>14</v>
      </c>
      <c r="H5" s="8">
        <v>1.3</v>
      </c>
      <c r="I5" s="5">
        <v>1.35</v>
      </c>
      <c r="J5" s="8">
        <v>1.4</v>
      </c>
      <c r="K5" s="8">
        <v>1.4</v>
      </c>
      <c r="L5" s="8">
        <v>1.4</v>
      </c>
      <c r="M5" s="5"/>
    </row>
    <row r="6" spans="1:13" x14ac:dyDescent="0.3">
      <c r="A6" t="s">
        <v>5</v>
      </c>
      <c r="B6" s="2">
        <v>10000</v>
      </c>
      <c r="G6" s="6" t="s">
        <v>10</v>
      </c>
      <c r="H6" s="7">
        <v>4000</v>
      </c>
      <c r="I6" s="7">
        <v>4000</v>
      </c>
      <c r="J6" s="7">
        <v>4000</v>
      </c>
      <c r="K6" s="7">
        <v>4500</v>
      </c>
      <c r="L6" s="7">
        <v>4500</v>
      </c>
      <c r="M6" s="5"/>
    </row>
    <row r="7" spans="1:13" x14ac:dyDescent="0.3">
      <c r="A7" t="s">
        <v>7</v>
      </c>
      <c r="B7" s="3">
        <v>0.24</v>
      </c>
      <c r="G7" s="6" t="s">
        <v>11</v>
      </c>
      <c r="H7" s="7">
        <v>10000</v>
      </c>
      <c r="I7" s="7">
        <v>15000</v>
      </c>
      <c r="J7" s="7">
        <v>20000</v>
      </c>
      <c r="K7" s="7">
        <v>25000</v>
      </c>
      <c r="L7" s="7">
        <v>25000</v>
      </c>
      <c r="M7" s="5"/>
    </row>
    <row r="8" spans="1:13" x14ac:dyDescent="0.3">
      <c r="A8" t="s">
        <v>8</v>
      </c>
      <c r="B8" s="3">
        <v>0.12</v>
      </c>
      <c r="F8" s="4" t="s">
        <v>32</v>
      </c>
    </row>
    <row r="9" spans="1:13" x14ac:dyDescent="0.3">
      <c r="G9" s="9" t="s">
        <v>15</v>
      </c>
    </row>
    <row r="10" spans="1:13" x14ac:dyDescent="0.3">
      <c r="G10" t="s">
        <v>33</v>
      </c>
      <c r="H10">
        <f>H3*H5</f>
        <v>260000</v>
      </c>
      <c r="I10">
        <f t="shared" ref="I10:L10" si="0">I3*I5</f>
        <v>337500</v>
      </c>
      <c r="J10">
        <f t="shared" si="0"/>
        <v>489999.99999999994</v>
      </c>
      <c r="K10">
        <f t="shared" si="0"/>
        <v>420000</v>
      </c>
      <c r="L10">
        <f t="shared" si="0"/>
        <v>210000</v>
      </c>
    </row>
    <row r="11" spans="1:13" x14ac:dyDescent="0.3">
      <c r="A11" s="4" t="s">
        <v>26</v>
      </c>
      <c r="G11" s="9" t="s">
        <v>16</v>
      </c>
    </row>
    <row r="12" spans="1:13" x14ac:dyDescent="0.3">
      <c r="A12" s="4" t="s">
        <v>27</v>
      </c>
      <c r="B12" s="4" t="s">
        <v>28</v>
      </c>
      <c r="C12" s="4" t="s">
        <v>29</v>
      </c>
      <c r="D12" s="4" t="s">
        <v>30</v>
      </c>
      <c r="E12" s="4" t="s">
        <v>31</v>
      </c>
      <c r="G12" t="s">
        <v>34</v>
      </c>
      <c r="H12">
        <f>H3*H4</f>
        <v>200000</v>
      </c>
      <c r="I12">
        <f t="shared" ref="I12:L12" si="1">I3*I4</f>
        <v>262500</v>
      </c>
      <c r="J12">
        <f t="shared" si="1"/>
        <v>385000.00000000006</v>
      </c>
      <c r="K12">
        <f t="shared" si="1"/>
        <v>345000</v>
      </c>
      <c r="L12">
        <f t="shared" si="1"/>
        <v>180000</v>
      </c>
    </row>
    <row r="13" spans="1:13" x14ac:dyDescent="0.3">
      <c r="A13" s="7">
        <f>H7</f>
        <v>10000</v>
      </c>
      <c r="B13" s="7">
        <f>I7-H7</f>
        <v>5000</v>
      </c>
      <c r="C13" s="7">
        <f>J7-I7</f>
        <v>5000</v>
      </c>
      <c r="D13" s="7">
        <f>K7-J7</f>
        <v>5000</v>
      </c>
      <c r="E13" s="7">
        <f>L7-K7</f>
        <v>0</v>
      </c>
      <c r="G13" s="10" t="s">
        <v>17</v>
      </c>
      <c r="H13" s="2">
        <f>H6</f>
        <v>4000</v>
      </c>
      <c r="I13" s="2">
        <f t="shared" ref="I13:L13" si="2">I6</f>
        <v>4000</v>
      </c>
      <c r="J13" s="2">
        <f t="shared" si="2"/>
        <v>4000</v>
      </c>
      <c r="K13" s="2">
        <f t="shared" si="2"/>
        <v>4500</v>
      </c>
      <c r="L13" s="2">
        <f t="shared" si="2"/>
        <v>4500</v>
      </c>
    </row>
    <row r="14" spans="1:13" x14ac:dyDescent="0.3">
      <c r="A14" s="5"/>
      <c r="B14" s="5"/>
      <c r="C14" s="5"/>
      <c r="D14" s="5"/>
      <c r="E14" s="7">
        <f>L7</f>
        <v>25000</v>
      </c>
      <c r="G14" s="9" t="s">
        <v>18</v>
      </c>
      <c r="H14">
        <f>E4</f>
        <v>18800</v>
      </c>
      <c r="I14">
        <f>E4</f>
        <v>18800</v>
      </c>
      <c r="J14">
        <f>E4</f>
        <v>18800</v>
      </c>
      <c r="K14">
        <f>E4</f>
        <v>18800</v>
      </c>
      <c r="L14">
        <f>E4</f>
        <v>18800</v>
      </c>
    </row>
    <row r="15" spans="1:13" x14ac:dyDescent="0.3">
      <c r="G15" s="9" t="s">
        <v>19</v>
      </c>
      <c r="H15" s="2">
        <f>H10-H12-H13-H14</f>
        <v>37200</v>
      </c>
      <c r="I15" s="2">
        <f t="shared" ref="I15:L15" si="3">I10-I12-I13-I14</f>
        <v>52200</v>
      </c>
      <c r="J15" s="2">
        <f t="shared" si="3"/>
        <v>82199.999999999884</v>
      </c>
      <c r="K15" s="2">
        <f t="shared" si="3"/>
        <v>51700</v>
      </c>
      <c r="L15" s="2">
        <f t="shared" si="3"/>
        <v>6700</v>
      </c>
    </row>
    <row r="16" spans="1:13" x14ac:dyDescent="0.3">
      <c r="G16" s="9" t="s">
        <v>20</v>
      </c>
      <c r="H16">
        <f>H15*$B$7</f>
        <v>8928</v>
      </c>
      <c r="I16">
        <f t="shared" ref="I16:L16" si="4">I15*$B$7</f>
        <v>12528</v>
      </c>
      <c r="J16">
        <f t="shared" si="4"/>
        <v>19727.999999999971</v>
      </c>
      <c r="K16">
        <f t="shared" si="4"/>
        <v>12408</v>
      </c>
      <c r="L16">
        <f t="shared" si="4"/>
        <v>1608</v>
      </c>
    </row>
    <row r="17" spans="6:12" x14ac:dyDescent="0.3">
      <c r="G17" s="9" t="s">
        <v>21</v>
      </c>
      <c r="H17" s="2">
        <f>H10-H12-H13-H16</f>
        <v>47072</v>
      </c>
      <c r="I17" s="2">
        <f t="shared" ref="I17:L17" si="5">I10-I12-I13-I16</f>
        <v>58472</v>
      </c>
      <c r="J17" s="2">
        <f t="shared" si="5"/>
        <v>81271.999999999913</v>
      </c>
      <c r="K17" s="2">
        <f t="shared" si="5"/>
        <v>58092</v>
      </c>
      <c r="L17" s="2">
        <f t="shared" si="5"/>
        <v>23892</v>
      </c>
    </row>
    <row r="18" spans="6:12" x14ac:dyDescent="0.3">
      <c r="G18" s="9" t="s">
        <v>22</v>
      </c>
      <c r="H18" s="2">
        <f>H7</f>
        <v>10000</v>
      </c>
      <c r="I18" s="2">
        <f>I7-H7</f>
        <v>5000</v>
      </c>
      <c r="J18" s="2">
        <f>J7-I7</f>
        <v>5000</v>
      </c>
      <c r="K18" s="2">
        <f>K7-J7</f>
        <v>5000</v>
      </c>
      <c r="L18" s="2">
        <f>L7-K7</f>
        <v>0</v>
      </c>
    </row>
    <row r="19" spans="6:12" x14ac:dyDescent="0.3">
      <c r="G19" s="9" t="s">
        <v>23</v>
      </c>
      <c r="H19" s="2"/>
      <c r="I19" s="2"/>
      <c r="J19" s="2"/>
      <c r="K19" s="2"/>
      <c r="L19" s="2">
        <f>B6</f>
        <v>10000</v>
      </c>
    </row>
    <row r="20" spans="6:12" x14ac:dyDescent="0.3">
      <c r="G20" s="9" t="s">
        <v>24</v>
      </c>
      <c r="L20" s="2">
        <f>L7</f>
        <v>25000</v>
      </c>
    </row>
    <row r="21" spans="6:12" x14ac:dyDescent="0.3">
      <c r="G21" s="9" t="s">
        <v>25</v>
      </c>
      <c r="H21" s="2">
        <f>H17-H18</f>
        <v>37072</v>
      </c>
      <c r="I21" s="2">
        <f t="shared" ref="I21:K21" si="6">I17-I18</f>
        <v>53472</v>
      </c>
      <c r="J21" s="2">
        <f t="shared" si="6"/>
        <v>76271.999999999913</v>
      </c>
      <c r="K21" s="2">
        <f t="shared" si="6"/>
        <v>53092</v>
      </c>
      <c r="L21" s="2">
        <f>L17-L18+L19+L20</f>
        <v>58892</v>
      </c>
    </row>
    <row r="24" spans="6:12" x14ac:dyDescent="0.3">
      <c r="F24" s="4" t="s">
        <v>35</v>
      </c>
      <c r="G24" s="4" t="s">
        <v>36</v>
      </c>
      <c r="H24" s="11">
        <f>NPV(B8,H21:L21)-E2</f>
        <v>93174.282287281589</v>
      </c>
      <c r="I24" s="5" t="s">
        <v>37</v>
      </c>
      <c r="J24" s="5">
        <v>0</v>
      </c>
      <c r="K24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3" workbookViewId="0">
      <selection activeCell="H36" sqref="H36"/>
    </sheetView>
  </sheetViews>
  <sheetFormatPr defaultRowHeight="14.4" x14ac:dyDescent="0.3"/>
  <cols>
    <col min="1" max="1" width="27" bestFit="1" customWidth="1"/>
    <col min="2" max="4" width="9.109375" bestFit="1" customWidth="1"/>
    <col min="5" max="5" width="10.33203125" customWidth="1"/>
    <col min="7" max="7" width="25.6640625" bestFit="1" customWidth="1"/>
    <col min="8" max="8" width="9.109375" bestFit="1" customWidth="1"/>
  </cols>
  <sheetData>
    <row r="1" spans="1:8" x14ac:dyDescent="0.3">
      <c r="B1" s="4">
        <v>2022</v>
      </c>
      <c r="C1" s="4">
        <v>2023</v>
      </c>
      <c r="D1" s="4">
        <v>2024</v>
      </c>
      <c r="E1" s="4">
        <v>2025</v>
      </c>
    </row>
    <row r="2" spans="1:8" x14ac:dyDescent="0.3">
      <c r="A2" s="9" t="s">
        <v>39</v>
      </c>
      <c r="B2" s="2">
        <v>1800000</v>
      </c>
      <c r="C2" s="2">
        <v>2200000</v>
      </c>
      <c r="D2" s="2">
        <v>2000000</v>
      </c>
      <c r="E2" s="2">
        <v>2400000</v>
      </c>
      <c r="G2" t="s">
        <v>7</v>
      </c>
      <c r="H2" s="3">
        <v>0.35</v>
      </c>
    </row>
    <row r="3" spans="1:8" x14ac:dyDescent="0.3">
      <c r="A3" s="9" t="s">
        <v>40</v>
      </c>
      <c r="B3" s="5">
        <v>8</v>
      </c>
      <c r="C3" s="5">
        <v>8.4</v>
      </c>
      <c r="D3" s="5">
        <v>8.8000000000000007</v>
      </c>
      <c r="E3" s="5">
        <v>8.4</v>
      </c>
      <c r="G3" t="s">
        <v>42</v>
      </c>
      <c r="H3" s="2">
        <v>4200000</v>
      </c>
    </row>
    <row r="4" spans="1:8" x14ac:dyDescent="0.3">
      <c r="A4" s="9" t="s">
        <v>41</v>
      </c>
      <c r="B4" s="5">
        <v>3.4</v>
      </c>
      <c r="C4" s="5">
        <v>3.4</v>
      </c>
      <c r="D4" s="5">
        <v>3.8</v>
      </c>
      <c r="E4" s="5">
        <v>3.8</v>
      </c>
      <c r="G4" t="s">
        <v>43</v>
      </c>
      <c r="H4" s="3">
        <v>0.08</v>
      </c>
    </row>
    <row r="5" spans="1:8" x14ac:dyDescent="0.3">
      <c r="G5" t="s">
        <v>44</v>
      </c>
      <c r="H5" s="3">
        <v>0</v>
      </c>
    </row>
    <row r="6" spans="1:8" x14ac:dyDescent="0.3">
      <c r="A6" s="9" t="s">
        <v>49</v>
      </c>
      <c r="B6">
        <f>B2*B3</f>
        <v>14400000</v>
      </c>
      <c r="C6">
        <f t="shared" ref="C6:E6" si="0">C2*C3</f>
        <v>18480000</v>
      </c>
      <c r="D6">
        <f t="shared" si="0"/>
        <v>17600000</v>
      </c>
      <c r="E6">
        <f t="shared" si="0"/>
        <v>20160000</v>
      </c>
      <c r="G6" t="s">
        <v>45</v>
      </c>
      <c r="H6" s="3">
        <v>0.5</v>
      </c>
    </row>
    <row r="7" spans="1:8" x14ac:dyDescent="0.3">
      <c r="A7" s="9" t="s">
        <v>50</v>
      </c>
      <c r="B7">
        <f>B2*B4</f>
        <v>6120000</v>
      </c>
      <c r="C7">
        <f t="shared" ref="C7:E7" si="1">C2*C4</f>
        <v>7480000</v>
      </c>
      <c r="D7">
        <f t="shared" si="1"/>
        <v>7600000</v>
      </c>
      <c r="E7">
        <f t="shared" si="1"/>
        <v>9120000</v>
      </c>
      <c r="G7" t="s">
        <v>46</v>
      </c>
      <c r="H7" s="3">
        <v>0.4</v>
      </c>
    </row>
    <row r="8" spans="1:8" x14ac:dyDescent="0.3">
      <c r="A8" s="9" t="s">
        <v>51</v>
      </c>
      <c r="B8">
        <f>B6-B7</f>
        <v>8280000</v>
      </c>
      <c r="C8">
        <f t="shared" ref="C8:E8" si="2">C6-C7</f>
        <v>11000000</v>
      </c>
      <c r="D8">
        <f t="shared" si="2"/>
        <v>10000000</v>
      </c>
      <c r="E8">
        <f t="shared" si="2"/>
        <v>11040000</v>
      </c>
      <c r="G8" t="s">
        <v>47</v>
      </c>
      <c r="H8" s="12">
        <v>0.84</v>
      </c>
    </row>
    <row r="9" spans="1:8" x14ac:dyDescent="0.3">
      <c r="A9" s="9" t="s">
        <v>52</v>
      </c>
      <c r="B9">
        <f>B8*$H$2</f>
        <v>2898000</v>
      </c>
      <c r="C9">
        <f t="shared" ref="C9:E9" si="3">C8*$H$2</f>
        <v>3849999.9999999995</v>
      </c>
      <c r="D9">
        <f t="shared" si="3"/>
        <v>3500000</v>
      </c>
      <c r="E9">
        <f t="shared" si="3"/>
        <v>3863999.9999999995</v>
      </c>
      <c r="G9" t="s">
        <v>48</v>
      </c>
      <c r="H9" s="3">
        <v>0.02</v>
      </c>
    </row>
    <row r="10" spans="1:8" x14ac:dyDescent="0.3">
      <c r="A10" s="9" t="s">
        <v>53</v>
      </c>
      <c r="B10">
        <f>B8-B9</f>
        <v>5382000</v>
      </c>
      <c r="C10">
        <f t="shared" ref="C10:E10" si="4">C8-C9</f>
        <v>7150000</v>
      </c>
      <c r="D10">
        <f t="shared" si="4"/>
        <v>6500000</v>
      </c>
      <c r="E10">
        <f t="shared" si="4"/>
        <v>7176000</v>
      </c>
    </row>
    <row r="11" spans="1:8" x14ac:dyDescent="0.3">
      <c r="A11" s="9" t="s">
        <v>54</v>
      </c>
      <c r="B11" s="16">
        <f>B10/$H$3</f>
        <v>1.2814285714285714</v>
      </c>
      <c r="C11" s="16">
        <f t="shared" ref="C11:E11" si="5">C10/$H$3</f>
        <v>1.7023809523809523</v>
      </c>
      <c r="D11" s="16">
        <f t="shared" si="5"/>
        <v>1.5476190476190477</v>
      </c>
      <c r="E11" s="16">
        <f t="shared" si="5"/>
        <v>1.7085714285714286</v>
      </c>
    </row>
    <row r="13" spans="1:8" x14ac:dyDescent="0.3">
      <c r="A13" s="4" t="s">
        <v>26</v>
      </c>
    </row>
    <row r="14" spans="1:8" x14ac:dyDescent="0.3">
      <c r="A14" s="15" t="s">
        <v>55</v>
      </c>
      <c r="B14" s="5">
        <f>B11*H5</f>
        <v>0</v>
      </c>
    </row>
    <row r="15" spans="1:8" x14ac:dyDescent="0.3">
      <c r="A15" s="15" t="s">
        <v>56</v>
      </c>
      <c r="B15" s="16">
        <f>C11*H6</f>
        <v>0.85119047619047616</v>
      </c>
    </row>
    <row r="16" spans="1:8" x14ac:dyDescent="0.3">
      <c r="A16" s="15" t="s">
        <v>57</v>
      </c>
      <c r="B16" s="16">
        <f>D11*H6</f>
        <v>0.77380952380952384</v>
      </c>
    </row>
    <row r="17" spans="1:8" x14ac:dyDescent="0.3">
      <c r="A17" s="15" t="s">
        <v>58</v>
      </c>
      <c r="B17" s="16">
        <f>E11*H7</f>
        <v>0.6834285714285715</v>
      </c>
    </row>
    <row r="18" spans="1:8" x14ac:dyDescent="0.3">
      <c r="A18" s="15" t="s">
        <v>59</v>
      </c>
      <c r="B18" s="16">
        <f>B17*(1+H18)</f>
        <v>0.71221376324409191</v>
      </c>
      <c r="G18" s="5" t="s">
        <v>64</v>
      </c>
      <c r="H18" s="13">
        <f>((H8/B17)^(1/5))-1</f>
        <v>4.2118800733411899E-2</v>
      </c>
    </row>
    <row r="19" spans="1:8" x14ac:dyDescent="0.3">
      <c r="A19" s="15" t="s">
        <v>60</v>
      </c>
      <c r="B19" s="16">
        <f>B18*(1+H18)</f>
        <v>0.74221135281776318</v>
      </c>
    </row>
    <row r="20" spans="1:8" x14ac:dyDescent="0.3">
      <c r="A20" s="15" t="s">
        <v>61</v>
      </c>
      <c r="B20" s="16">
        <f>B19*(1+H18)</f>
        <v>0.77347240488917057</v>
      </c>
    </row>
    <row r="21" spans="1:8" x14ac:dyDescent="0.3">
      <c r="A21" s="15" t="s">
        <v>62</v>
      </c>
      <c r="B21" s="16">
        <f>B20*(1+H18)</f>
        <v>0.80605013498349043</v>
      </c>
    </row>
    <row r="22" spans="1:8" x14ac:dyDescent="0.3">
      <c r="A22" s="15" t="s">
        <v>63</v>
      </c>
      <c r="B22" s="5">
        <f>B21*(1+H18)</f>
        <v>0.83999999999999986</v>
      </c>
    </row>
    <row r="25" spans="1:8" x14ac:dyDescent="0.3">
      <c r="A25" s="4" t="s">
        <v>32</v>
      </c>
    </row>
    <row r="26" spans="1:8" x14ac:dyDescent="0.3">
      <c r="A26" t="s">
        <v>65</v>
      </c>
      <c r="B26" s="5">
        <f>B14/(1+H4)</f>
        <v>0</v>
      </c>
    </row>
    <row r="27" spans="1:8" x14ac:dyDescent="0.3">
      <c r="A27" t="s">
        <v>66</v>
      </c>
      <c r="B27" s="16">
        <f>B15/(1+H4)^2</f>
        <v>0.72975863870925595</v>
      </c>
    </row>
    <row r="28" spans="1:8" x14ac:dyDescent="0.3">
      <c r="A28" t="s">
        <v>67</v>
      </c>
      <c r="B28" s="16">
        <f>B16/(1+H4)^3</f>
        <v>0.61427494840846453</v>
      </c>
    </row>
    <row r="29" spans="1:8" x14ac:dyDescent="0.3">
      <c r="A29" t="s">
        <v>68</v>
      </c>
      <c r="B29" s="16">
        <f>B17/(1+H4)^4</f>
        <v>0.5023404022540332</v>
      </c>
    </row>
    <row r="30" spans="1:8" x14ac:dyDescent="0.3">
      <c r="A30" t="s">
        <v>69</v>
      </c>
      <c r="B30" s="16">
        <f>B18/(1+H4)^5</f>
        <v>0.48472071996010452</v>
      </c>
    </row>
    <row r="31" spans="1:8" x14ac:dyDescent="0.3">
      <c r="A31" t="s">
        <v>70</v>
      </c>
      <c r="B31" s="16">
        <f>B19/(1+H4)^6</f>
        <v>0.4677190512735741</v>
      </c>
    </row>
    <row r="32" spans="1:8" x14ac:dyDescent="0.3">
      <c r="A32" t="s">
        <v>71</v>
      </c>
      <c r="B32" s="16">
        <f>B20/(1+H4)^7</f>
        <v>0.45131371925313535</v>
      </c>
    </row>
    <row r="33" spans="1:6" x14ac:dyDescent="0.3">
      <c r="A33" t="s">
        <v>72</v>
      </c>
      <c r="B33" s="16">
        <f>B21/(1+H4)^8</f>
        <v>0.43548380728019737</v>
      </c>
    </row>
    <row r="34" spans="1:6" x14ac:dyDescent="0.3">
      <c r="A34" t="s">
        <v>73</v>
      </c>
      <c r="B34" s="16">
        <f>B22/(1+H4)^9</f>
        <v>0.42020913239042551</v>
      </c>
    </row>
    <row r="36" spans="1:6" x14ac:dyDescent="0.3">
      <c r="A36" s="5" t="s">
        <v>74</v>
      </c>
      <c r="B36" s="14">
        <f>(B22*(1+H9))/(H4-H9)</f>
        <v>14.28</v>
      </c>
    </row>
    <row r="37" spans="1:6" x14ac:dyDescent="0.3">
      <c r="A37" t="s">
        <v>75</v>
      </c>
      <c r="B37" s="13">
        <f>B36/(1+H4)^9</f>
        <v>7.1435552506372346</v>
      </c>
    </row>
    <row r="39" spans="1:6" x14ac:dyDescent="0.3">
      <c r="A39" s="4" t="s">
        <v>76</v>
      </c>
      <c r="B39" s="14">
        <f>B26+B27+B28+B29+B30+B31+B32+B33+B34+B37</f>
        <v>11.249375670166426</v>
      </c>
    </row>
    <row r="42" spans="1:6" x14ac:dyDescent="0.3">
      <c r="A42" s="4" t="s">
        <v>35</v>
      </c>
    </row>
    <row r="43" spans="1:6" x14ac:dyDescent="0.3">
      <c r="A43" t="s">
        <v>77</v>
      </c>
      <c r="B43" s="13">
        <f>B39</f>
        <v>11.249375670166426</v>
      </c>
      <c r="C43" s="5" t="s">
        <v>78</v>
      </c>
      <c r="D43" t="s">
        <v>79</v>
      </c>
      <c r="F43">
        <v>10.4</v>
      </c>
    </row>
    <row r="44" spans="1:6" x14ac:dyDescent="0.3">
      <c r="B44" t="s">
        <v>80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workbookViewId="0">
      <selection activeCell="C25" sqref="C25"/>
    </sheetView>
  </sheetViews>
  <sheetFormatPr defaultRowHeight="14.4" x14ac:dyDescent="0.3"/>
  <cols>
    <col min="1" max="1" width="33.33203125" bestFit="1" customWidth="1"/>
    <col min="2" max="2" width="10.44140625" bestFit="1" customWidth="1"/>
    <col min="7" max="7" width="17.77734375" bestFit="1" customWidth="1"/>
    <col min="10" max="10" width="14.88671875" bestFit="1" customWidth="1"/>
  </cols>
  <sheetData>
    <row r="2" spans="1:11" x14ac:dyDescent="0.3">
      <c r="A2" s="4" t="s">
        <v>26</v>
      </c>
      <c r="E2" s="4" t="s">
        <v>32</v>
      </c>
      <c r="J2" t="s">
        <v>102</v>
      </c>
      <c r="K2">
        <v>32500</v>
      </c>
    </row>
    <row r="3" spans="1:11" x14ac:dyDescent="0.3">
      <c r="A3" t="s">
        <v>81</v>
      </c>
      <c r="B3" s="2">
        <v>100000</v>
      </c>
      <c r="F3" s="5" t="s">
        <v>90</v>
      </c>
      <c r="G3" s="5" t="s">
        <v>99</v>
      </c>
      <c r="H3" s="5" t="s">
        <v>36</v>
      </c>
      <c r="I3" s="5" t="s">
        <v>100</v>
      </c>
    </row>
    <row r="4" spans="1:11" x14ac:dyDescent="0.3">
      <c r="A4" t="s">
        <v>82</v>
      </c>
      <c r="B4" s="3">
        <v>0.2</v>
      </c>
      <c r="F4" s="5" t="s">
        <v>91</v>
      </c>
      <c r="G4" s="5">
        <v>500</v>
      </c>
      <c r="H4" s="5">
        <v>50</v>
      </c>
      <c r="I4" s="8">
        <v>1.1000000000000001</v>
      </c>
    </row>
    <row r="5" spans="1:11" x14ac:dyDescent="0.3">
      <c r="A5" t="s">
        <v>83</v>
      </c>
      <c r="B5">
        <v>10</v>
      </c>
      <c r="F5" s="5" t="s">
        <v>92</v>
      </c>
      <c r="G5" s="5">
        <v>5000</v>
      </c>
      <c r="H5" s="5">
        <v>6500</v>
      </c>
      <c r="I5" s="8">
        <v>2.2999999999999998</v>
      </c>
    </row>
    <row r="6" spans="1:11" x14ac:dyDescent="0.3">
      <c r="A6" t="s">
        <v>84</v>
      </c>
      <c r="B6" s="2">
        <v>100000</v>
      </c>
      <c r="F6" s="5" t="s">
        <v>93</v>
      </c>
      <c r="G6" s="5">
        <v>5000</v>
      </c>
      <c r="H6" s="5">
        <v>5500</v>
      </c>
      <c r="I6" s="8">
        <v>2.1</v>
      </c>
    </row>
    <row r="7" spans="1:11" x14ac:dyDescent="0.3">
      <c r="A7" t="s">
        <v>85</v>
      </c>
      <c r="B7">
        <v>11</v>
      </c>
      <c r="F7" s="5" t="s">
        <v>94</v>
      </c>
      <c r="G7" s="5">
        <v>7500</v>
      </c>
      <c r="H7" s="5">
        <v>5000</v>
      </c>
      <c r="I7" s="8">
        <v>1.67</v>
      </c>
    </row>
    <row r="8" spans="1:11" x14ac:dyDescent="0.3">
      <c r="F8" s="5" t="s">
        <v>95</v>
      </c>
      <c r="G8" s="5">
        <v>12500</v>
      </c>
      <c r="H8" s="5">
        <v>500</v>
      </c>
      <c r="I8" s="8">
        <v>1.04</v>
      </c>
    </row>
    <row r="9" spans="1:11" x14ac:dyDescent="0.3">
      <c r="A9" s="4" t="s">
        <v>86</v>
      </c>
      <c r="F9" s="5" t="s">
        <v>96</v>
      </c>
      <c r="G9" s="5">
        <v>15000</v>
      </c>
      <c r="H9" s="5">
        <v>21000</v>
      </c>
      <c r="I9" s="8">
        <v>2.4</v>
      </c>
    </row>
    <row r="10" spans="1:11" x14ac:dyDescent="0.3">
      <c r="A10" s="5" t="s">
        <v>87</v>
      </c>
      <c r="B10" s="14">
        <f>B3*((1-(1/(1+B4)^10))/B4)</f>
        <v>419247.20855507714</v>
      </c>
      <c r="F10" s="5" t="s">
        <v>97</v>
      </c>
      <c r="G10" s="5">
        <v>17500</v>
      </c>
      <c r="H10" s="5">
        <v>7500</v>
      </c>
      <c r="I10" s="8">
        <v>1.43</v>
      </c>
    </row>
    <row r="11" spans="1:11" x14ac:dyDescent="0.3">
      <c r="F11" s="5" t="s">
        <v>98</v>
      </c>
      <c r="G11" s="5">
        <v>25000</v>
      </c>
      <c r="H11" s="5">
        <v>6000</v>
      </c>
      <c r="I11" s="8">
        <v>1.24</v>
      </c>
    </row>
    <row r="12" spans="1:11" x14ac:dyDescent="0.3">
      <c r="A12" t="s">
        <v>88</v>
      </c>
      <c r="B12">
        <f>B6/B4</f>
        <v>500000</v>
      </c>
    </row>
    <row r="13" spans="1:11" x14ac:dyDescent="0.3">
      <c r="A13" t="s">
        <v>89</v>
      </c>
      <c r="B13">
        <f>B12/(1+B4)^10</f>
        <v>80752.79144492287</v>
      </c>
      <c r="G13" t="s">
        <v>104</v>
      </c>
    </row>
    <row r="14" spans="1:11" x14ac:dyDescent="0.3">
      <c r="F14" s="5" t="s">
        <v>90</v>
      </c>
      <c r="G14" s="5" t="s">
        <v>101</v>
      </c>
      <c r="H14" s="5" t="s">
        <v>36</v>
      </c>
      <c r="I14" s="5" t="s">
        <v>100</v>
      </c>
    </row>
    <row r="15" spans="1:11" x14ac:dyDescent="0.3">
      <c r="F15" s="5" t="s">
        <v>103</v>
      </c>
      <c r="G15" s="5">
        <f>G9+G10</f>
        <v>32500</v>
      </c>
      <c r="H15" s="5">
        <f>H9+H10</f>
        <v>28500</v>
      </c>
      <c r="I15" s="16">
        <f>H15/G15</f>
        <v>0.87692307692307692</v>
      </c>
    </row>
    <row r="16" spans="1:11" x14ac:dyDescent="0.3">
      <c r="A16" t="s">
        <v>130</v>
      </c>
      <c r="B16" s="14">
        <f>B3*((((1+B4)^B5)-1)/B4)</f>
        <v>2595868.2111999993</v>
      </c>
      <c r="F16" s="5"/>
      <c r="I16" s="13"/>
    </row>
    <row r="17" spans="1:9" x14ac:dyDescent="0.3">
      <c r="G17" t="s">
        <v>105</v>
      </c>
    </row>
    <row r="18" spans="1:9" x14ac:dyDescent="0.3">
      <c r="A18" s="4" t="s">
        <v>120</v>
      </c>
      <c r="F18" s="5" t="s">
        <v>90</v>
      </c>
      <c r="G18" s="5" t="s">
        <v>101</v>
      </c>
      <c r="H18" s="5" t="s">
        <v>36</v>
      </c>
      <c r="I18" s="5" t="s">
        <v>100</v>
      </c>
    </row>
    <row r="19" spans="1:9" x14ac:dyDescent="0.3">
      <c r="A19" s="5" t="s">
        <v>131</v>
      </c>
      <c r="B19" s="13">
        <f>(2^(1/10))-1</f>
        <v>7.1773462536293131E-2</v>
      </c>
      <c r="C19" s="17">
        <f>(2^(1/10))-1</f>
        <v>7.1773462536293131E-2</v>
      </c>
      <c r="F19" s="5" t="s">
        <v>106</v>
      </c>
      <c r="G19" s="5">
        <f>G9+G5+G6+G7</f>
        <v>32500</v>
      </c>
      <c r="H19" s="5">
        <f>H9+H5+H6+H7</f>
        <v>38000</v>
      </c>
      <c r="I19" s="8">
        <f>H19/G19</f>
        <v>1.1692307692307693</v>
      </c>
    </row>
    <row r="20" spans="1:9" x14ac:dyDescent="0.3">
      <c r="F20" s="5"/>
      <c r="I20" s="13"/>
    </row>
    <row r="21" spans="1:9" x14ac:dyDescent="0.3">
      <c r="F21" s="5"/>
      <c r="I21" s="13"/>
    </row>
    <row r="22" spans="1:9" x14ac:dyDescent="0.3">
      <c r="F22" s="5"/>
      <c r="I22" s="13"/>
    </row>
    <row r="23" spans="1:9" x14ac:dyDescent="0.3">
      <c r="F23" s="5"/>
      <c r="I23" s="13"/>
    </row>
    <row r="24" spans="1:9" x14ac:dyDescent="0.3">
      <c r="F24" s="5"/>
      <c r="I24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F24" sqref="F24"/>
    </sheetView>
  </sheetViews>
  <sheetFormatPr defaultRowHeight="14.4" x14ac:dyDescent="0.3"/>
  <cols>
    <col min="1" max="1" width="23.109375" bestFit="1" customWidth="1"/>
    <col min="5" max="5" width="40.6640625" bestFit="1" customWidth="1"/>
  </cols>
  <sheetData>
    <row r="2" spans="1:6" x14ac:dyDescent="0.3">
      <c r="A2" t="s">
        <v>107</v>
      </c>
      <c r="B2" s="2">
        <v>800000</v>
      </c>
      <c r="E2" s="4" t="s">
        <v>86</v>
      </c>
      <c r="F2" s="12"/>
    </row>
    <row r="3" spans="1:6" x14ac:dyDescent="0.3">
      <c r="A3" t="s">
        <v>108</v>
      </c>
      <c r="B3" s="3">
        <v>0.35</v>
      </c>
      <c r="E3" s="5" t="s">
        <v>114</v>
      </c>
      <c r="F3" s="3">
        <f>((B7*(1+B8))/B6)+B8</f>
        <v>0.17</v>
      </c>
    </row>
    <row r="4" spans="1:6" x14ac:dyDescent="0.3">
      <c r="A4" t="s">
        <v>109</v>
      </c>
      <c r="B4" s="3">
        <v>0.4</v>
      </c>
    </row>
    <row r="5" spans="1:6" x14ac:dyDescent="0.3">
      <c r="A5" t="s">
        <v>110</v>
      </c>
      <c r="B5" s="3">
        <v>0.25</v>
      </c>
      <c r="E5" s="4" t="s">
        <v>120</v>
      </c>
    </row>
    <row r="6" spans="1:6" x14ac:dyDescent="0.3">
      <c r="A6" s="5" t="s">
        <v>111</v>
      </c>
      <c r="B6" s="12">
        <v>4</v>
      </c>
      <c r="E6" t="s">
        <v>121</v>
      </c>
      <c r="F6" s="3">
        <f>B9+B10</f>
        <v>0.05</v>
      </c>
    </row>
    <row r="7" spans="1:6" x14ac:dyDescent="0.3">
      <c r="A7" s="5" t="s">
        <v>112</v>
      </c>
      <c r="B7" s="12">
        <v>0.5</v>
      </c>
      <c r="E7" t="s">
        <v>122</v>
      </c>
      <c r="F7">
        <f>F6*(1-B14)</f>
        <v>3.8000000000000006E-2</v>
      </c>
    </row>
    <row r="8" spans="1:6" x14ac:dyDescent="0.3">
      <c r="A8" s="5" t="s">
        <v>113</v>
      </c>
      <c r="B8" s="3">
        <v>0.04</v>
      </c>
    </row>
    <row r="9" spans="1:6" x14ac:dyDescent="0.3">
      <c r="A9" s="5" t="s">
        <v>115</v>
      </c>
      <c r="B9" s="3">
        <v>0.02</v>
      </c>
      <c r="E9" t="s">
        <v>123</v>
      </c>
      <c r="F9">
        <f>B11*B12</f>
        <v>80</v>
      </c>
    </row>
    <row r="10" spans="1:6" x14ac:dyDescent="0.3">
      <c r="A10" s="5" t="s">
        <v>116</v>
      </c>
      <c r="B10" s="3">
        <v>0.03</v>
      </c>
      <c r="E10" t="s">
        <v>124</v>
      </c>
      <c r="F10">
        <f>B11*B13</f>
        <v>975</v>
      </c>
    </row>
    <row r="11" spans="1:6" x14ac:dyDescent="0.3">
      <c r="A11" s="5" t="s">
        <v>117</v>
      </c>
      <c r="B11" s="2">
        <v>1000</v>
      </c>
    </row>
    <row r="12" spans="1:6" x14ac:dyDescent="0.3">
      <c r="A12" s="5" t="s">
        <v>118</v>
      </c>
      <c r="B12" s="3">
        <v>0.08</v>
      </c>
      <c r="E12" t="s">
        <v>126</v>
      </c>
    </row>
    <row r="13" spans="1:6" x14ac:dyDescent="0.3">
      <c r="A13" s="5" t="s">
        <v>119</v>
      </c>
      <c r="B13" s="17">
        <v>0.97499999999999998</v>
      </c>
      <c r="E13">
        <f>-F10</f>
        <v>-975</v>
      </c>
    </row>
    <row r="14" spans="1:6" x14ac:dyDescent="0.3">
      <c r="A14" s="5" t="s">
        <v>7</v>
      </c>
      <c r="B14" s="3">
        <v>0.24</v>
      </c>
      <c r="E14">
        <f>F9</f>
        <v>80</v>
      </c>
    </row>
    <row r="15" spans="1:6" x14ac:dyDescent="0.3">
      <c r="E15">
        <f>F9</f>
        <v>80</v>
      </c>
    </row>
    <row r="16" spans="1:6" x14ac:dyDescent="0.3">
      <c r="E16">
        <f>F9</f>
        <v>80</v>
      </c>
    </row>
    <row r="17" spans="5:7" x14ac:dyDescent="0.3">
      <c r="E17">
        <f>F9</f>
        <v>80</v>
      </c>
    </row>
    <row r="18" spans="5:7" x14ac:dyDescent="0.3">
      <c r="E18" s="2">
        <f>F9+B11</f>
        <v>1080</v>
      </c>
    </row>
    <row r="19" spans="5:7" x14ac:dyDescent="0.3">
      <c r="E19" t="s">
        <v>125</v>
      </c>
      <c r="F19" s="17">
        <f>IRR(E13:E18)</f>
        <v>8.6366836036379624E-2</v>
      </c>
    </row>
    <row r="20" spans="5:7" x14ac:dyDescent="0.3">
      <c r="E20" t="s">
        <v>127</v>
      </c>
      <c r="F20" s="17">
        <f>F19*(1-B14)</f>
        <v>6.563879538764851E-2</v>
      </c>
      <c r="G20" s="13"/>
    </row>
    <row r="22" spans="5:7" x14ac:dyDescent="0.3">
      <c r="E22" s="4" t="s">
        <v>128</v>
      </c>
    </row>
    <row r="23" spans="5:7" x14ac:dyDescent="0.3">
      <c r="E23" s="5" t="s">
        <v>129</v>
      </c>
      <c r="F23" s="17">
        <f>(B3*F3)+(B4*F7)+(B5*F20)</f>
        <v>9.1109698846912127E-2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Θέμα 1</vt:lpstr>
      <vt:lpstr>Θέμα 2</vt:lpstr>
      <vt:lpstr>Θέμα 3</vt:lpstr>
      <vt:lpstr>Θέμα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an_st</dc:creator>
  <cp:lastModifiedBy>an_st</cp:lastModifiedBy>
  <dcterms:created xsi:type="dcterms:W3CDTF">2021-10-09T14:26:27Z</dcterms:created>
  <dcterms:modified xsi:type="dcterms:W3CDTF">2021-10-16T16:00:11Z</dcterms:modified>
</cp:coreProperties>
</file>